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ndy\Dropbox\Work-In-Progress\Outreach-Extension general\"/>
    </mc:Choice>
  </mc:AlternateContent>
  <bookViews>
    <workbookView xWindow="0" yWindow="0" windowWidth="19190" windowHeight="54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3" i="1" l="1"/>
  <c r="D9" i="1" l="1"/>
  <c r="C9" i="1"/>
  <c r="H7" i="1" l="1"/>
  <c r="G22" i="1"/>
  <c r="G21" i="1"/>
  <c r="G24" i="1" s="1"/>
  <c r="G25" i="1" s="1"/>
  <c r="D13" i="1"/>
  <c r="D12" i="1"/>
  <c r="D11" i="1"/>
  <c r="H28" i="1" s="1"/>
  <c r="H29" i="1" s="1"/>
  <c r="C13" i="1"/>
  <c r="C11" i="1"/>
  <c r="C12" i="1"/>
  <c r="H21" i="1"/>
  <c r="H24" i="1" s="1"/>
  <c r="H25" i="1" s="1"/>
  <c r="G23" i="1" l="1"/>
  <c r="G11" i="1"/>
  <c r="G15" i="1" s="1"/>
  <c r="G28" i="1"/>
  <c r="G29" i="1" s="1"/>
  <c r="C21" i="1"/>
  <c r="D21" i="1"/>
  <c r="H22" i="1"/>
  <c r="H23" i="1" s="1"/>
  <c r="H11" i="1"/>
  <c r="H15" i="1" s="1"/>
  <c r="H13" i="1"/>
  <c r="G26" i="1"/>
  <c r="G27" i="1" l="1"/>
  <c r="G30" i="1"/>
  <c r="H26" i="1"/>
  <c r="G16" i="1" l="1"/>
  <c r="H27" i="1"/>
  <c r="H16" i="1" s="1"/>
  <c r="H30" i="1"/>
  <c r="H17" i="1" l="1"/>
  <c r="H18" i="1"/>
</calcChain>
</file>

<file path=xl/comments1.xml><?xml version="1.0" encoding="utf-8"?>
<comments xmlns="http://schemas.openxmlformats.org/spreadsheetml/2006/main">
  <authors>
    <author>Randy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Default inputs for lactation performance based on Journal of Dairy Science meta-analysis paper by Ferraretto and Shaver, 2015, 98:2662-2675.
Users can define these inputs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</rPr>
          <t xml:space="preserve">
Total costs (fixed and variable) including harvest costs entered as default values. 
Users are referred to:
 https://www.extension.iastate.edu/agdm/crops/pdf/a1-20.pdf. 
Consider differences in seed costs and fungicide use costs between hybrid types that may exist when defining user inputs.
</t>
        </r>
      </text>
    </comment>
    <comment ref="B19" authorId="0" shapeId="0">
      <text>
        <r>
          <rPr>
            <b/>
            <sz val="9"/>
            <color indexed="81"/>
            <rFont val="Tahoma"/>
            <family val="2"/>
          </rPr>
          <t xml:space="preserve">The values inputted are the cost per lb of dry matter of the </t>
        </r>
        <r>
          <rPr>
            <b/>
            <u/>
            <sz val="9"/>
            <color indexed="81"/>
            <rFont val="Tahoma"/>
            <family val="2"/>
          </rPr>
          <t>non-corn silage dry matter</t>
        </r>
        <r>
          <rPr>
            <b/>
            <sz val="9"/>
            <color indexed="81"/>
            <rFont val="Tahoma"/>
            <family val="2"/>
          </rPr>
          <t xml:space="preserve"> calculated as the cost of all dry matter intake other than corn silage divided by that intake  
Users should define these inputs</t>
        </r>
      </text>
    </comment>
  </commentList>
</comments>
</file>

<file path=xl/sharedStrings.xml><?xml version="1.0" encoding="utf-8"?>
<sst xmlns="http://schemas.openxmlformats.org/spreadsheetml/2006/main" count="71" uniqueCount="45">
  <si>
    <t>Fat %</t>
  </si>
  <si>
    <t>Protein %</t>
  </si>
  <si>
    <t xml:space="preserve"> </t>
  </si>
  <si>
    <t>Milk, lb/d</t>
  </si>
  <si>
    <t>Fat, lb/d</t>
  </si>
  <si>
    <t>Protein, lb/d</t>
  </si>
  <si>
    <t>Fat, $/lb</t>
  </si>
  <si>
    <t>OS, $/lb</t>
  </si>
  <si>
    <t>Premiums, $/cwt.</t>
  </si>
  <si>
    <t>DMI, lb/d</t>
  </si>
  <si>
    <t>OS, lb/d</t>
  </si>
  <si>
    <t>Protein, $/ld</t>
  </si>
  <si>
    <t>Milk Revenue, $/d</t>
  </si>
  <si>
    <t>% in TMR DM</t>
  </si>
  <si>
    <t>COW</t>
  </si>
  <si>
    <t>35%-DM Tons Harvested/Acre</t>
  </si>
  <si>
    <t>Bunk Feed Refusal Target, %</t>
  </si>
  <si>
    <t>CORN SILAGE</t>
  </si>
  <si>
    <t>Conventional</t>
  </si>
  <si>
    <t>Data Input</t>
  </si>
  <si>
    <t>BMR</t>
  </si>
  <si>
    <t>lb corn silage DM</t>
  </si>
  <si>
    <t>corn silage cost per lb DM</t>
  </si>
  <si>
    <t>corn silage cost per day</t>
  </si>
  <si>
    <t>IOFC</t>
  </si>
  <si>
    <t>Yield Drag</t>
  </si>
  <si>
    <t>Storage DM Loss, %</t>
  </si>
  <si>
    <t>BMR DMI              Toggle</t>
  </si>
  <si>
    <t>Enter # Milking Cows in Herd</t>
  </si>
  <si>
    <t>Acres for Milking Herd for Year</t>
  </si>
  <si>
    <t>IOFC for Milking Herd for Year</t>
  </si>
  <si>
    <t>lb non corn silage DM</t>
  </si>
  <si>
    <t>non corn silage cost per day</t>
  </si>
  <si>
    <t>total feed cost per day</t>
  </si>
  <si>
    <t>Corn Silage Production Cost per 35%-DM Ton</t>
  </si>
  <si>
    <t>Non Corn Silage                 TMR DM, $/lb.</t>
  </si>
  <si>
    <t>Calculated Output</t>
  </si>
  <si>
    <t>ecm, lb/d</t>
  </si>
  <si>
    <t>ecm/dmi, lb/lb</t>
  </si>
  <si>
    <t>total feed cost per cwt. ECM, $ cwt.</t>
  </si>
  <si>
    <t>Professor Randy Shaver, UW Madison Dairy Science Dept; Dr. John Goeser, Rock River Laboratory, Inc., Cows Agree Consulting LLC, Adjunct Assistant Professor, UW Madison Dairy            Science Dept;  Professor Joe Lauer, UW Madison Agronomy Dept; Emeritus Professor Bruce Jones, UW Madison Dairy Science Dept.</t>
  </si>
  <si>
    <t>IOFC Difference for Milking Herd for Year</t>
  </si>
  <si>
    <t>IOFC Difference per Cow per Year</t>
  </si>
  <si>
    <t>Corn Silage Production Cost per Acre</t>
  </si>
  <si>
    <t>Corn Silage  Production Cost for Milking Herd for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</si>
</sst>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164" formatCode="0.0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_(&quot;$&quot;* #,##0.000_);_(&quot;$&quot;* \(#,##0.000\);_(&quot;$&quot;* &quot;-&quot;??_);_(@_)"/>
    <numFmt numFmtId="168" formatCode="0.00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u/>
      <sz val="11"/>
      <color theme="0"/>
      <name val="Comic Sans MS"/>
      <family val="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b/>
      <sz val="11"/>
      <color rgb="FFC00000"/>
      <name val="Comic Sans MS"/>
      <family val="4"/>
    </font>
    <font>
      <b/>
      <sz val="11"/>
      <color theme="9" tint="-0.499984740745262"/>
      <name val="Comic Sans MS"/>
      <family val="4"/>
    </font>
    <font>
      <b/>
      <sz val="11"/>
      <color theme="1"/>
      <name val="Comic Sans MS"/>
      <family val="4"/>
    </font>
    <font>
      <b/>
      <sz val="11"/>
      <name val="Comic Sans MS"/>
      <family val="4"/>
    </font>
    <font>
      <b/>
      <sz val="12"/>
      <color theme="0"/>
      <name val="Comic Sans MS"/>
      <family val="4"/>
    </font>
    <font>
      <b/>
      <sz val="12"/>
      <color theme="1"/>
      <name val="Comic Sans MS"/>
      <family val="4"/>
    </font>
    <font>
      <b/>
      <sz val="12"/>
      <color rgb="FFC00000"/>
      <name val="Comic Sans MS"/>
      <family val="4"/>
    </font>
    <font>
      <b/>
      <sz val="12"/>
      <color theme="9" tint="-0.499984740745262"/>
      <name val="Comic Sans MS"/>
      <family val="4"/>
    </font>
    <font>
      <b/>
      <sz val="12"/>
      <name val="Comic Sans MS"/>
      <family val="4"/>
    </font>
    <font>
      <sz val="11"/>
      <color theme="2"/>
      <name val="Calibri"/>
      <family val="2"/>
      <scheme val="minor"/>
    </font>
    <font>
      <b/>
      <sz val="11"/>
      <color theme="2"/>
      <name val="Calibri"/>
      <family val="2"/>
      <scheme val="minor"/>
    </font>
    <font>
      <b/>
      <u/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2" fillId="2" borderId="0" xfId="0" applyFont="1" applyFill="1" applyAlignment="1" applyProtection="1">
      <alignment horizontal="center"/>
      <protection locked="0"/>
    </xf>
    <xf numFmtId="164" fontId="0" fillId="2" borderId="0" xfId="0" applyNumberFormat="1" applyFill="1" applyAlignment="1" applyProtection="1">
      <alignment horizontal="center"/>
      <protection locked="0"/>
    </xf>
    <xf numFmtId="2" fontId="0" fillId="2" borderId="0" xfId="0" applyNumberFormat="1" applyFill="1" applyAlignment="1" applyProtection="1">
      <alignment horizontal="center"/>
      <protection locked="0"/>
    </xf>
    <xf numFmtId="164" fontId="2" fillId="2" borderId="0" xfId="0" applyNumberFormat="1" applyFont="1" applyFill="1" applyAlignment="1" applyProtection="1">
      <alignment horizontal="center"/>
      <protection locked="0"/>
    </xf>
    <xf numFmtId="165" fontId="0" fillId="2" borderId="0" xfId="1" applyNumberFormat="1" applyFont="1" applyFill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4" fontId="0" fillId="0" borderId="0" xfId="0" applyNumberFormat="1" applyAlignment="1">
      <alignment horizontal="center"/>
    </xf>
    <xf numFmtId="44" fontId="0" fillId="0" borderId="0" xfId="1" applyFont="1" applyAlignment="1">
      <alignment horizontal="center"/>
    </xf>
    <xf numFmtId="2" fontId="0" fillId="0" borderId="0" xfId="0" applyNumberFormat="1" applyAlignment="1">
      <alignment horizontal="center"/>
    </xf>
    <xf numFmtId="9" fontId="0" fillId="2" borderId="0" xfId="2" applyFont="1" applyFill="1" applyAlignment="1" applyProtection="1">
      <alignment horizontal="center"/>
      <protection locked="0"/>
    </xf>
    <xf numFmtId="0" fontId="0" fillId="0" borderId="0" xfId="0" applyFill="1"/>
    <xf numFmtId="0" fontId="10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7" fillId="5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6" borderId="0" xfId="0" applyFont="1" applyFill="1" applyAlignment="1">
      <alignment horizontal="center" vertical="center" wrapText="1"/>
    </xf>
    <xf numFmtId="0" fontId="1" fillId="6" borderId="0" xfId="0" applyFont="1" applyFill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5" fillId="9" borderId="0" xfId="0" applyFont="1" applyFill="1" applyBorder="1" applyAlignment="1">
      <alignment horizontal="center" vertical="center" wrapText="1"/>
    </xf>
    <xf numFmtId="0" fontId="17" fillId="10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8" fillId="1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44" fontId="3" fillId="0" borderId="0" xfId="1" applyFont="1" applyFill="1" applyAlignment="1">
      <alignment horizontal="center"/>
    </xf>
    <xf numFmtId="0" fontId="19" fillId="2" borderId="7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center"/>
      <protection hidden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164" fontId="20" fillId="0" borderId="0" xfId="0" applyNumberFormat="1" applyFont="1" applyAlignment="1" applyProtection="1">
      <alignment horizontal="center"/>
      <protection hidden="1"/>
    </xf>
    <xf numFmtId="168" fontId="20" fillId="0" borderId="0" xfId="0" applyNumberFormat="1" applyFont="1" applyAlignment="1" applyProtection="1">
      <alignment horizontal="center"/>
      <protection hidden="1"/>
    </xf>
    <xf numFmtId="44" fontId="20" fillId="0" borderId="0" xfId="1" applyNumberFormat="1" applyFont="1" applyAlignment="1" applyProtection="1">
      <alignment horizontal="center"/>
      <protection hidden="1"/>
    </xf>
    <xf numFmtId="44" fontId="20" fillId="0" borderId="0" xfId="0" applyNumberFormat="1" applyFont="1" applyAlignment="1" applyProtection="1">
      <alignment horizontal="center"/>
      <protection hidden="1"/>
    </xf>
    <xf numFmtId="166" fontId="20" fillId="0" borderId="0" xfId="0" applyNumberFormat="1" applyFont="1" applyAlignment="1" applyProtection="1">
      <alignment horizontal="center"/>
      <protection hidden="1"/>
    </xf>
    <xf numFmtId="167" fontId="0" fillId="2" borderId="0" xfId="1" applyNumberFormat="1" applyFont="1" applyFill="1" applyAlignment="1" applyProtection="1">
      <alignment horizontal="center" vertical="center"/>
      <protection locked="0"/>
    </xf>
    <xf numFmtId="2" fontId="20" fillId="0" borderId="0" xfId="0" applyNumberFormat="1" applyFont="1" applyAlignment="1" applyProtection="1">
      <alignment horizontal="center"/>
      <protection hidden="1"/>
    </xf>
    <xf numFmtId="164" fontId="3" fillId="3" borderId="0" xfId="0" applyNumberFormat="1" applyFont="1" applyFill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3" fillId="3" borderId="0" xfId="0" applyNumberFormat="1" applyFont="1" applyFill="1" applyAlignment="1" applyProtection="1">
      <alignment horizontal="center"/>
      <protection hidden="1"/>
    </xf>
    <xf numFmtId="44" fontId="3" fillId="10" borderId="0" xfId="1" applyFont="1" applyFill="1" applyAlignment="1" applyProtection="1">
      <alignment horizontal="center"/>
      <protection hidden="1"/>
    </xf>
    <xf numFmtId="164" fontId="3" fillId="7" borderId="0" xfId="0" applyNumberFormat="1" applyFont="1" applyFill="1" applyAlignment="1" applyProtection="1">
      <alignment horizontal="center"/>
      <protection hidden="1"/>
    </xf>
    <xf numFmtId="166" fontId="3" fillId="3" borderId="0" xfId="1" applyNumberFormat="1" applyFont="1" applyFill="1" applyAlignment="1" applyProtection="1">
      <alignment horizontal="center"/>
      <protection hidden="1"/>
    </xf>
    <xf numFmtId="166" fontId="5" fillId="3" borderId="0" xfId="1" applyNumberFormat="1" applyFont="1" applyFill="1" applyAlignment="1" applyProtection="1">
      <alignment horizontal="center"/>
      <protection hidden="1"/>
    </xf>
    <xf numFmtId="166" fontId="5" fillId="3" borderId="0" xfId="1" applyNumberFormat="1" applyFont="1" applyFill="1" applyAlignment="1" applyProtection="1">
      <alignment horizontal="center" vertical="center"/>
      <protection hidden="1"/>
    </xf>
    <xf numFmtId="0" fontId="13" fillId="8" borderId="1" xfId="0" applyFont="1" applyFill="1" applyBorder="1" applyAlignment="1">
      <alignment horizontal="left" vertical="center" wrapText="1"/>
    </xf>
    <xf numFmtId="0" fontId="13" fillId="8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wrapText="1"/>
    </xf>
    <xf numFmtId="0" fontId="13" fillId="8" borderId="4" xfId="0" applyFont="1" applyFill="1" applyBorder="1" applyAlignment="1">
      <alignment horizontal="left" vertical="center" wrapText="1"/>
    </xf>
    <xf numFmtId="0" fontId="13" fillId="8" borderId="8" xfId="0" applyFont="1" applyFill="1" applyBorder="1" applyAlignment="1">
      <alignment horizontal="left" vertical="center" wrapText="1"/>
    </xf>
    <xf numFmtId="0" fontId="13" fillId="8" borderId="5" xfId="0" applyFont="1" applyFill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44" fontId="2" fillId="2" borderId="0" xfId="1" applyFont="1" applyFill="1" applyAlignment="1" applyProtection="1">
      <alignment horizontal="center"/>
      <protection locked="0"/>
    </xf>
    <xf numFmtId="44" fontId="0" fillId="2" borderId="0" xfId="1" applyFont="1" applyFill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9" xfId="0" applyFill="1" applyBorder="1" applyAlignment="1"/>
    <xf numFmtId="0" fontId="0" fillId="0" borderId="9" xfId="0" applyBorder="1" applyAlignment="1"/>
    <xf numFmtId="0" fontId="0" fillId="0" borderId="0" xfId="0" applyAlignme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0000"/>
      <color rgb="FFF6B8BE"/>
      <color rgb="FFEC6A76"/>
      <color rgb="FFE0DEEE"/>
      <color rgb="FFE9E5E3"/>
      <color rgb="FFFCF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3625850</xdr:colOff>
      <xdr:row>3</xdr:row>
      <xdr:rowOff>6350</xdr:rowOff>
    </xdr:from>
    <xdr:to>
      <xdr:col>9</xdr:col>
      <xdr:colOff>12699</xdr:colOff>
      <xdr:row>4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270750" y="577850"/>
          <a:ext cx="2660649" cy="488950"/>
        </a:xfrm>
        <a:prstGeom prst="rect">
          <a:avLst/>
        </a:prstGeom>
        <a:noFill/>
        <a:ln w="28575">
          <a:solidFill>
            <a:schemeClr val="tx1"/>
          </a:solidFill>
        </a:ln>
        <a:effectLst>
          <a:glow rad="63500">
            <a:schemeClr val="accent4">
              <a:lumMod val="60000"/>
              <a:lumOff val="40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10</xdr:col>
      <xdr:colOff>12700</xdr:colOff>
      <xdr:row>21</xdr:row>
      <xdr:rowOff>127000</xdr:rowOff>
    </xdr:from>
    <xdr:ext cx="216534" cy="264560"/>
    <xdr:sp macro="" textlink="">
      <xdr:nvSpPr>
        <xdr:cNvPr id="3" name="TextBox 2"/>
        <xdr:cNvSpPr txBox="1"/>
      </xdr:nvSpPr>
      <xdr:spPr>
        <a:xfrm>
          <a:off x="10661650" y="4394200"/>
          <a:ext cx="21653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 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558800</xdr:colOff>
          <xdr:row>0</xdr:row>
          <xdr:rowOff>57150</xdr:rowOff>
        </xdr:from>
        <xdr:to>
          <xdr:col>15</xdr:col>
          <xdr:colOff>19050</xdr:colOff>
          <xdr:row>3</xdr:row>
          <xdr:rowOff>361950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5</xdr:col>
      <xdr:colOff>473075</xdr:colOff>
      <xdr:row>16</xdr:row>
      <xdr:rowOff>22225</xdr:rowOff>
    </xdr:from>
    <xdr:to>
      <xdr:col>8</xdr:col>
      <xdr:colOff>107950</xdr:colOff>
      <xdr:row>18</xdr:row>
      <xdr:rowOff>15875</xdr:rowOff>
    </xdr:to>
    <xdr:sp macro="" textlink="">
      <xdr:nvSpPr>
        <xdr:cNvPr id="4" name="Rounded Rectangle 3"/>
        <xdr:cNvSpPr/>
      </xdr:nvSpPr>
      <xdr:spPr>
        <a:xfrm>
          <a:off x="4117975" y="3346450"/>
          <a:ext cx="5006975" cy="368300"/>
        </a:xfrm>
        <a:prstGeom prst="roundRect">
          <a:avLst/>
        </a:prstGeom>
        <a:noFill/>
        <a:ln w="28575">
          <a:solidFill>
            <a:schemeClr val="accent5">
              <a:lumMod val="50000"/>
            </a:schemeClr>
          </a:solidFill>
        </a:ln>
        <a:effectLst>
          <a:glow rad="63500">
            <a:schemeClr val="accent5">
              <a:satMod val="17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T33"/>
  <sheetViews>
    <sheetView tabSelected="1" zoomScaleNormal="100" workbookViewId="0">
      <pane ySplit="4" topLeftCell="A5" activePane="bottomLeft" state="frozen"/>
      <selection pane="bottomLeft" activeCell="C4" sqref="C4"/>
    </sheetView>
  </sheetViews>
  <sheetFormatPr defaultRowHeight="14.75" x14ac:dyDescent="0.75"/>
  <cols>
    <col min="1" max="1" width="0.81640625" customWidth="1"/>
    <col min="2" max="2" width="19.453125" style="1" customWidth="1"/>
    <col min="3" max="3" width="12.1796875" style="1" customWidth="1"/>
    <col min="4" max="4" width="8.6328125" style="1" customWidth="1"/>
    <col min="5" max="5" width="11.08984375" style="1" customWidth="1"/>
    <col min="6" max="6" width="52.08984375" style="1" customWidth="1"/>
    <col min="7" max="7" width="12.08984375" style="1" customWidth="1"/>
    <col min="8" max="8" width="12.7265625" style="1" customWidth="1"/>
    <col min="9" max="9" width="12.90625" style="1" customWidth="1"/>
    <col min="10" max="10" width="10.453125" style="1" customWidth="1"/>
    <col min="11" max="11" width="12.36328125" style="1" customWidth="1"/>
    <col min="12" max="12" width="11.7265625" style="1" customWidth="1"/>
    <col min="13" max="13" width="11.90625" style="1" customWidth="1"/>
    <col min="14" max="14" width="5.08984375" style="1" customWidth="1"/>
    <col min="15" max="15" width="0.90625" style="1" customWidth="1"/>
    <col min="16" max="16" width="8.7265625" style="1"/>
    <col min="17" max="17" width="8.90625" style="1" customWidth="1"/>
    <col min="18" max="20" width="8.7265625" style="1"/>
  </cols>
  <sheetData>
    <row r="1" spans="2:20" ht="5.5" customHeight="1" thickBot="1" x14ac:dyDescent="0.9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2:20" x14ac:dyDescent="0.75">
      <c r="B2" s="56" t="s">
        <v>40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8"/>
      <c r="P2" s="14"/>
      <c r="Q2" s="14"/>
      <c r="R2" s="14"/>
      <c r="S2" s="14"/>
      <c r="T2" s="14"/>
    </row>
    <row r="3" spans="2:20" ht="25" customHeight="1" thickBot="1" x14ac:dyDescent="0.9">
      <c r="B3" s="59"/>
      <c r="C3" s="60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2"/>
      <c r="P3" s="14"/>
      <c r="Q3" s="14"/>
      <c r="R3" s="14"/>
      <c r="S3" s="14"/>
      <c r="T3" s="14"/>
    </row>
    <row r="4" spans="2:20" s="19" customFormat="1" ht="39" customHeight="1" x14ac:dyDescent="0.75">
      <c r="B4" s="27" t="s">
        <v>28</v>
      </c>
      <c r="C4" s="37">
        <v>500</v>
      </c>
      <c r="D4" s="20"/>
      <c r="E4" s="20"/>
      <c r="F4" s="20"/>
      <c r="G4" s="29" t="s">
        <v>19</v>
      </c>
      <c r="H4" s="28" t="s">
        <v>36</v>
      </c>
      <c r="I4" s="30" t="s">
        <v>36</v>
      </c>
      <c r="K4" s="19" t="s">
        <v>2</v>
      </c>
      <c r="M4" s="66"/>
      <c r="N4" s="67"/>
      <c r="O4" s="67"/>
      <c r="P4" s="21"/>
      <c r="Q4" s="21"/>
      <c r="R4" s="21"/>
      <c r="S4" s="21"/>
      <c r="T4" s="21"/>
    </row>
    <row r="5" spans="2:20" ht="30.75" customHeight="1" x14ac:dyDescent="0.75">
      <c r="B5" s="22" t="s">
        <v>14</v>
      </c>
      <c r="C5" s="23" t="s">
        <v>18</v>
      </c>
      <c r="D5" s="23" t="s">
        <v>20</v>
      </c>
      <c r="E5" s="24" t="s">
        <v>27</v>
      </c>
      <c r="F5" s="22" t="s">
        <v>17</v>
      </c>
      <c r="G5" s="23" t="s">
        <v>18</v>
      </c>
      <c r="H5" s="23" t="s">
        <v>20</v>
      </c>
      <c r="I5" s="25" t="s">
        <v>25</v>
      </c>
      <c r="M5" s="68"/>
      <c r="N5" s="68"/>
      <c r="O5" s="68"/>
    </row>
    <row r="6" spans="2:20" ht="16.75" x14ac:dyDescent="0.95">
      <c r="B6" s="2" t="s">
        <v>3</v>
      </c>
      <c r="C6" s="9">
        <v>81.8</v>
      </c>
      <c r="D6" s="9">
        <v>85.1</v>
      </c>
      <c r="E6" s="65"/>
      <c r="F6" s="2" t="s">
        <v>13</v>
      </c>
      <c r="G6" s="8">
        <v>35</v>
      </c>
      <c r="H6" s="8">
        <v>35</v>
      </c>
      <c r="K6" s="31"/>
    </row>
    <row r="7" spans="2:20" ht="16.75" x14ac:dyDescent="0.95">
      <c r="B7" s="2" t="s">
        <v>0</v>
      </c>
      <c r="C7" s="10">
        <v>3.63</v>
      </c>
      <c r="D7" s="10">
        <v>3.52</v>
      </c>
      <c r="E7" s="65"/>
      <c r="F7" s="2" t="s">
        <v>15</v>
      </c>
      <c r="G7" s="11">
        <v>25</v>
      </c>
      <c r="H7" s="52">
        <f>G7-(G7*I7)</f>
        <v>21.25</v>
      </c>
      <c r="I7" s="18">
        <v>0.15</v>
      </c>
      <c r="K7" s="32"/>
    </row>
    <row r="8" spans="2:20" ht="16.75" x14ac:dyDescent="0.95">
      <c r="B8" s="2" t="s">
        <v>1</v>
      </c>
      <c r="C8" s="10">
        <v>3.06</v>
      </c>
      <c r="D8" s="10">
        <v>3.07</v>
      </c>
      <c r="E8" s="65"/>
      <c r="F8" s="2" t="s">
        <v>26</v>
      </c>
      <c r="G8" s="8">
        <v>12</v>
      </c>
      <c r="H8" s="8">
        <v>12</v>
      </c>
      <c r="K8" s="33"/>
    </row>
    <row r="9" spans="2:20" x14ac:dyDescent="0.75">
      <c r="B9" s="2" t="s">
        <v>9</v>
      </c>
      <c r="C9" s="48">
        <f>C6/1.55</f>
        <v>52.774193548387096</v>
      </c>
      <c r="D9" s="48">
        <f>(D6/1.55)*E9</f>
        <v>54.903225806451609</v>
      </c>
      <c r="E9" s="18">
        <v>1</v>
      </c>
      <c r="F9" s="2" t="s">
        <v>16</v>
      </c>
      <c r="G9" s="8">
        <v>3</v>
      </c>
      <c r="H9" s="8">
        <v>3</v>
      </c>
    </row>
    <row r="10" spans="2:20" ht="3.75" customHeight="1" x14ac:dyDescent="0.75">
      <c r="C10" s="49"/>
      <c r="D10" s="49"/>
    </row>
    <row r="11" spans="2:20" x14ac:dyDescent="0.75">
      <c r="B11" s="3" t="s">
        <v>4</v>
      </c>
      <c r="C11" s="50">
        <f>C$6*C7/100</f>
        <v>2.9693399999999999</v>
      </c>
      <c r="D11" s="50">
        <f>D$6*D7/100</f>
        <v>2.9955199999999995</v>
      </c>
      <c r="E11" s="65"/>
      <c r="F11" s="3" t="s">
        <v>29</v>
      </c>
      <c r="G11" s="48">
        <f>((G21/(1-((G8+G9)/100)))/0.35)/2000*C4*365/G7</f>
        <v>226.61859582542695</v>
      </c>
      <c r="H11" s="48">
        <f>((H21/(1-((H8+H9)/100)))/0.35)/2000*C4*365/H7</f>
        <v>277.3657774305168</v>
      </c>
      <c r="I11" s="1" t="s">
        <v>2</v>
      </c>
    </row>
    <row r="12" spans="2:20" x14ac:dyDescent="0.75">
      <c r="B12" s="3" t="s">
        <v>5</v>
      </c>
      <c r="C12" s="50">
        <f>C$6*C8/100</f>
        <v>2.5030799999999997</v>
      </c>
      <c r="D12" s="50">
        <f>D$6*D8/100</f>
        <v>2.6125699999999994</v>
      </c>
      <c r="E12" s="65"/>
      <c r="F12" s="5" t="s">
        <v>43</v>
      </c>
      <c r="G12" s="12">
        <v>800</v>
      </c>
      <c r="H12" s="12">
        <v>850</v>
      </c>
    </row>
    <row r="13" spans="2:20" x14ac:dyDescent="0.75">
      <c r="B13" s="3" t="s">
        <v>10</v>
      </c>
      <c r="C13" s="50">
        <f>C$6*5.75/100</f>
        <v>4.7035</v>
      </c>
      <c r="D13" s="50">
        <f>D$6*5.75/100</f>
        <v>4.8932500000000001</v>
      </c>
      <c r="E13" s="65"/>
      <c r="F13" s="3" t="s">
        <v>34</v>
      </c>
      <c r="G13" s="53">
        <f>G12/G7</f>
        <v>32</v>
      </c>
      <c r="H13" s="53">
        <f>H12/H7</f>
        <v>40</v>
      </c>
      <c r="I13" s="1" t="s">
        <v>2</v>
      </c>
    </row>
    <row r="14" spans="2:20" ht="3.65" customHeight="1" x14ac:dyDescent="0.75">
      <c r="E14" s="65"/>
      <c r="G14" s="49"/>
      <c r="H14" s="49"/>
      <c r="J14" s="1" t="s">
        <v>2</v>
      </c>
    </row>
    <row r="15" spans="2:20" ht="14.25" customHeight="1" x14ac:dyDescent="0.75">
      <c r="B15" s="2" t="s">
        <v>6</v>
      </c>
      <c r="C15" s="63">
        <v>2.5</v>
      </c>
      <c r="D15" s="63"/>
      <c r="E15" s="65"/>
      <c r="F15" s="3" t="s">
        <v>44</v>
      </c>
      <c r="G15" s="53">
        <f>G11*G12</f>
        <v>181294.87666034157</v>
      </c>
      <c r="H15" s="53">
        <f>H11*H12</f>
        <v>235760.91081593928</v>
      </c>
      <c r="I15" s="1" t="s">
        <v>2</v>
      </c>
      <c r="J15" s="4"/>
    </row>
    <row r="16" spans="2:20" ht="16" customHeight="1" x14ac:dyDescent="0.75">
      <c r="B16" s="2" t="s">
        <v>11</v>
      </c>
      <c r="C16" s="63">
        <v>1.19</v>
      </c>
      <c r="D16" s="63"/>
      <c r="E16" s="65"/>
      <c r="F16" s="3" t="s">
        <v>30</v>
      </c>
      <c r="G16" s="53">
        <f>G27</f>
        <v>1228716.1969838708</v>
      </c>
      <c r="H16" s="53">
        <f>H27</f>
        <v>1197344.6742258056</v>
      </c>
    </row>
    <row r="17" spans="2:11" x14ac:dyDescent="0.75">
      <c r="B17" s="2" t="s">
        <v>7</v>
      </c>
      <c r="C17" s="63">
        <v>0.28999999999999998</v>
      </c>
      <c r="D17" s="63"/>
      <c r="E17" s="65"/>
      <c r="F17" s="6" t="s">
        <v>41</v>
      </c>
      <c r="G17" s="7"/>
      <c r="H17" s="54">
        <f>H16-G16</f>
        <v>-31371.522758065257</v>
      </c>
    </row>
    <row r="18" spans="2:11" x14ac:dyDescent="0.75">
      <c r="B18" s="2" t="s">
        <v>8</v>
      </c>
      <c r="C18" s="64">
        <v>0.75</v>
      </c>
      <c r="D18" s="64"/>
      <c r="E18" s="65"/>
      <c r="F18" s="34" t="s">
        <v>42</v>
      </c>
      <c r="G18" s="35"/>
      <c r="H18" s="55">
        <f>H17/C4</f>
        <v>-62.743045516130515</v>
      </c>
    </row>
    <row r="19" spans="2:11" ht="31" customHeight="1" x14ac:dyDescent="0.75">
      <c r="B19" s="26" t="s">
        <v>35</v>
      </c>
      <c r="C19" s="46">
        <v>0.14000000000000001</v>
      </c>
      <c r="D19" s="46">
        <v>0.14000000000000001</v>
      </c>
      <c r="E19" s="65"/>
      <c r="J19" s="1" t="s">
        <v>2</v>
      </c>
    </row>
    <row r="20" spans="2:11" ht="2.9" customHeight="1" x14ac:dyDescent="0.75">
      <c r="E20" s="65"/>
    </row>
    <row r="21" spans="2:11" x14ac:dyDescent="0.75">
      <c r="B21" s="3" t="s">
        <v>12</v>
      </c>
      <c r="C21" s="51">
        <f>(C11*C$15)+(C12*C$16)+(C13*C$17)+(C18/100*C6)</f>
        <v>12.3795302</v>
      </c>
      <c r="D21" s="51">
        <f>(D11*C$15)+(D12*C$16)+(D13*C$17)+(C18/100*D6)</f>
        <v>12.655050799999996</v>
      </c>
      <c r="E21" s="65"/>
      <c r="F21" s="38" t="s">
        <v>21</v>
      </c>
      <c r="G21" s="41">
        <f>C9*G6/100</f>
        <v>18.470967741935482</v>
      </c>
      <c r="H21" s="41">
        <f>D9*H6/100</f>
        <v>19.216129032258063</v>
      </c>
      <c r="I21" s="1" t="s">
        <v>2</v>
      </c>
    </row>
    <row r="22" spans="2:11" x14ac:dyDescent="0.75">
      <c r="B22" s="3"/>
      <c r="C22" s="36"/>
      <c r="D22" s="36"/>
      <c r="E22" s="65"/>
      <c r="F22" s="38" t="s">
        <v>22</v>
      </c>
      <c r="G22" s="42">
        <f>((G12/(G7)/(0.35)))/2000</f>
        <v>4.5714285714285714E-2</v>
      </c>
      <c r="H22" s="42">
        <f>((H12/(H7)/(0.35)))/2000</f>
        <v>5.7142857142857148E-2</v>
      </c>
      <c r="J22" s="1" t="s">
        <v>2</v>
      </c>
    </row>
    <row r="23" spans="2:11" x14ac:dyDescent="0.75">
      <c r="D23" s="1" t="s">
        <v>2</v>
      </c>
      <c r="F23" s="38" t="s">
        <v>23</v>
      </c>
      <c r="G23" s="43">
        <f>G21*G22</f>
        <v>0.84438709677419344</v>
      </c>
      <c r="H23" s="44">
        <f>H21*H22</f>
        <v>1.0980645161290323</v>
      </c>
      <c r="I23" s="1" t="s">
        <v>2</v>
      </c>
    </row>
    <row r="24" spans="2:11" ht="14.25" customHeight="1" x14ac:dyDescent="0.75">
      <c r="F24" s="39" t="s">
        <v>31</v>
      </c>
      <c r="G24" s="41">
        <f>C9-G21</f>
        <v>34.303225806451614</v>
      </c>
      <c r="H24" s="41">
        <f>D9-H21</f>
        <v>35.687096774193549</v>
      </c>
      <c r="J24" s="1" t="s">
        <v>2</v>
      </c>
    </row>
    <row r="25" spans="2:11" x14ac:dyDescent="0.75">
      <c r="F25" s="39" t="s">
        <v>32</v>
      </c>
      <c r="G25" s="44">
        <f>G24*C19</f>
        <v>4.8024516129032264</v>
      </c>
      <c r="H25" s="44">
        <f>H24*D19</f>
        <v>4.9961935483870974</v>
      </c>
      <c r="I25" s="17"/>
      <c r="J25" s="1" t="s">
        <v>2</v>
      </c>
    </row>
    <row r="26" spans="2:11" x14ac:dyDescent="0.75">
      <c r="F26" s="38" t="s">
        <v>33</v>
      </c>
      <c r="G26" s="44">
        <f>G23+G25</f>
        <v>5.6468387096774197</v>
      </c>
      <c r="H26" s="44">
        <f>H23+H25</f>
        <v>6.0942580645161293</v>
      </c>
      <c r="I26" s="13"/>
      <c r="J26" s="1" t="s">
        <v>2</v>
      </c>
    </row>
    <row r="27" spans="2:11" x14ac:dyDescent="0.75">
      <c r="F27" s="38" t="s">
        <v>24</v>
      </c>
      <c r="G27" s="45">
        <f>((C21-(G26))*C4*365)</f>
        <v>1228716.1969838708</v>
      </c>
      <c r="H27" s="45">
        <f>((D21-(H26))*C4*365)</f>
        <v>1197344.6742258056</v>
      </c>
      <c r="I27" s="13"/>
      <c r="J27" s="1" t="s">
        <v>2</v>
      </c>
      <c r="K27" s="1" t="s">
        <v>2</v>
      </c>
    </row>
    <row r="28" spans="2:11" x14ac:dyDescent="0.75">
      <c r="F28" s="40" t="s">
        <v>37</v>
      </c>
      <c r="G28" s="41">
        <f>(C6*0.327)+(12.95*C11)+(7.65*C12)</f>
        <v>84.350114999999988</v>
      </c>
      <c r="H28" s="41">
        <f>(D6*0.327)+(12.95*D11)+(7.65*D12)</f>
        <v>86.605844499999989</v>
      </c>
      <c r="I28" s="15"/>
      <c r="J28" s="1" t="s">
        <v>2</v>
      </c>
    </row>
    <row r="29" spans="2:11" x14ac:dyDescent="0.75">
      <c r="F29" s="39" t="s">
        <v>38</v>
      </c>
      <c r="G29" s="47">
        <f>G28/C9</f>
        <v>1.5983212499999997</v>
      </c>
      <c r="H29" s="47">
        <f>H28/D9</f>
        <v>1.5774272499999999</v>
      </c>
      <c r="I29" s="15" t="s">
        <v>2</v>
      </c>
      <c r="J29" s="1" t="s">
        <v>2</v>
      </c>
      <c r="K29" s="1" t="s">
        <v>2</v>
      </c>
    </row>
    <row r="30" spans="2:11" x14ac:dyDescent="0.75">
      <c r="F30" s="39" t="s">
        <v>39</v>
      </c>
      <c r="G30" s="44">
        <f>(G26)/G28*100</f>
        <v>6.6945240201242413</v>
      </c>
      <c r="H30" s="44">
        <f>(H26)/H28*100</f>
        <v>7.0367745961026102</v>
      </c>
      <c r="I30" s="15" t="s">
        <v>2</v>
      </c>
      <c r="K30" s="1" t="s">
        <v>2</v>
      </c>
    </row>
    <row r="31" spans="2:11" x14ac:dyDescent="0.75">
      <c r="F31" s="1" t="s">
        <v>2</v>
      </c>
      <c r="H31" s="16"/>
      <c r="J31" s="1" t="s">
        <v>2</v>
      </c>
    </row>
    <row r="32" spans="2:11" x14ac:dyDescent="0.75">
      <c r="H32" s="15" t="s">
        <v>2</v>
      </c>
    </row>
    <row r="33" spans="8:8" x14ac:dyDescent="0.75">
      <c r="H33" s="15"/>
    </row>
  </sheetData>
  <sheetProtection algorithmName="SHA-512" hashValue="mWYqjlAoDhV/RvzCiaQ7b9sTz4RKZkL0RNAJ/g0LJvIL7PQZy7z+mrI0hWoRVPt8qtc2QFgX3JhY2oYoP4EnBA==" saltValue="Z/rlgAe5D6hWXbHM/LnJKw==" spinCount="100000" sheet="1" objects="1" scenarios="1"/>
  <mergeCells count="8">
    <mergeCell ref="B2:O3"/>
    <mergeCell ref="C15:D15"/>
    <mergeCell ref="C16:D16"/>
    <mergeCell ref="C17:D17"/>
    <mergeCell ref="C18:D18"/>
    <mergeCell ref="E6:E8"/>
    <mergeCell ref="E11:E22"/>
    <mergeCell ref="M4:O5"/>
  </mergeCells>
  <pageMargins left="0.7" right="0.7" top="0.75" bottom="0.75" header="0.3" footer="0.3"/>
  <pageSetup orientation="portrait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Paint.Picture" shapeId="1030" r:id="rId4">
          <objectPr defaultSize="0" autoPict="0" r:id="rId5">
            <anchor moveWithCells="1">
              <from>
                <xdr:col>12</xdr:col>
                <xdr:colOff>558800</xdr:colOff>
                <xdr:row>0</xdr:row>
                <xdr:rowOff>57150</xdr:rowOff>
              </from>
              <to>
                <xdr:col>15</xdr:col>
                <xdr:colOff>19050</xdr:colOff>
                <xdr:row>3</xdr:row>
                <xdr:rowOff>361950</xdr:rowOff>
              </to>
            </anchor>
          </objectPr>
        </oleObject>
      </mc:Choice>
      <mc:Fallback>
        <oleObject progId="Paint.Picture" shapeId="1030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RDShaver</dc:creator>
  <cp:lastModifiedBy>Randy</cp:lastModifiedBy>
  <dcterms:created xsi:type="dcterms:W3CDTF">2019-02-11T20:50:30Z</dcterms:created>
  <dcterms:modified xsi:type="dcterms:W3CDTF">2019-03-14T13:01:53Z</dcterms:modified>
</cp:coreProperties>
</file>