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0988" activeTab="0"/>
  </bookViews>
  <sheets>
    <sheet name="Introduction" sheetId="1" r:id="rId1"/>
    <sheet name="Corn Silage Pricer" sheetId="2" r:id="rId2"/>
    <sheet name="Moisture Adjustment" sheetId="3" r:id="rId3"/>
  </sheets>
  <definedNames>
    <definedName name="_xlnm.Print_Area" localSheetId="1">'Corn Silage Pricer'!$A$1:$J$54</definedName>
  </definedNames>
  <calcPr fullCalcOnLoad="1"/>
</workbook>
</file>

<file path=xl/comments2.xml><?xml version="1.0" encoding="utf-8"?>
<comments xmlns="http://schemas.openxmlformats.org/spreadsheetml/2006/main">
  <authors>
    <author>Ryan Sterry</author>
  </authors>
  <commentList>
    <comment ref="A14" authorId="0">
      <text>
        <r>
          <rPr>
            <b/>
            <sz val="10"/>
            <rFont val="Arial"/>
            <family val="2"/>
          </rPr>
          <t>Discount to seller for low test weight, mold, etc.  Do NOT include drying or storage costs.</t>
        </r>
        <r>
          <rPr>
            <sz val="9"/>
            <rFont val="Tahoma"/>
            <family val="2"/>
          </rPr>
          <t xml:space="preserve">
</t>
        </r>
      </text>
    </comment>
    <comment ref="A10" authorId="0">
      <text>
        <r>
          <rPr>
            <b/>
            <sz val="9"/>
            <rFont val="Tahoma"/>
            <family val="2"/>
          </rPr>
          <t>To use estimated yield actual column (D10) must be BLANK!</t>
        </r>
        <r>
          <rPr>
            <sz val="9"/>
            <rFont val="Tahoma"/>
            <family val="2"/>
          </rPr>
          <t xml:space="preserve">
</t>
        </r>
      </text>
    </comment>
    <comment ref="A15" authorId="0">
      <text>
        <r>
          <rPr>
            <b/>
            <sz val="9"/>
            <rFont val="Tahoma"/>
            <family val="2"/>
          </rPr>
          <t>Use current market price for dairy quality straw or other low protein &amp; energy forage.  Serves to estimate value of stover to buyer in corn silage.</t>
        </r>
      </text>
    </comment>
    <comment ref="A17" authorId="0">
      <text>
        <r>
          <rPr>
            <b/>
            <sz val="9"/>
            <rFont val="Tahoma"/>
            <family val="2"/>
          </rPr>
          <t xml:space="preserve">On average there is a 9% grain yield reduction for harvest before black layer.  
To use estimated black layer loss, over ride (E17) must be BLANK!  </t>
        </r>
      </text>
    </comment>
    <comment ref="A37" authorId="0">
      <text>
        <r>
          <rPr>
            <b/>
            <sz val="9"/>
            <rFont val="Tahoma"/>
            <family val="2"/>
          </rPr>
          <t>Assumed average is 2-3%, can override if actual is known</t>
        </r>
      </text>
    </comment>
    <comment ref="A22" authorId="0">
      <text>
        <r>
          <rPr>
            <b/>
            <sz val="9"/>
            <rFont val="Tahoma"/>
            <family val="0"/>
          </rPr>
          <t>Check boxes to assign silage harvest costs to the buyer.  Un-checked boxes assign the cost to the seller.</t>
        </r>
      </text>
    </comment>
  </commentList>
</comments>
</file>

<file path=xl/sharedStrings.xml><?xml version="1.0" encoding="utf-8"?>
<sst xmlns="http://schemas.openxmlformats.org/spreadsheetml/2006/main" count="123" uniqueCount="115">
  <si>
    <t>Buyer</t>
  </si>
  <si>
    <t>Seller</t>
  </si>
  <si>
    <t xml:space="preserve">     Storage Length (months)</t>
  </si>
  <si>
    <t xml:space="preserve">     $/Bushel/month</t>
  </si>
  <si>
    <t>Total Harvest Costs for Buyer/Acre</t>
  </si>
  <si>
    <t xml:space="preserve">Corn Silage Pricing Decision Aid </t>
  </si>
  <si>
    <t>c</t>
  </si>
  <si>
    <t>b</t>
  </si>
  <si>
    <t>a</t>
  </si>
  <si>
    <t>Tons DM</t>
  </si>
  <si>
    <t>Tons As Fed</t>
  </si>
  <si>
    <t>% DM</t>
  </si>
  <si>
    <t>Local Market Price for No.2 Corn at 15.5% moisture as Buyer or Seller</t>
  </si>
  <si>
    <t>Silage % DM</t>
  </si>
  <si>
    <t xml:space="preserve">Value of Standing Corn Silage ($/ton wet basis) </t>
  </si>
  <si>
    <t>Value of Standing Corn for Silage ($/ton DM)</t>
  </si>
  <si>
    <t>Chopping $/Acre</t>
  </si>
  <si>
    <t>Hauling $/Acre</t>
  </si>
  <si>
    <t>Concrete tower</t>
  </si>
  <si>
    <t>Type of Storage</t>
  </si>
  <si>
    <t>% loss</t>
  </si>
  <si>
    <t>Oxygen limiting tower</t>
  </si>
  <si>
    <t>Bunker</t>
  </si>
  <si>
    <t>Packed pile</t>
  </si>
  <si>
    <t>Bagged</t>
  </si>
  <si>
    <t xml:space="preserve">The spreadsheet develops a price from the seller’s (minimum to accept) and buyer’s (maximum to pay) perspectives.  </t>
  </si>
  <si>
    <t xml:space="preserve">This would represent the same returns to the seller if the seller harvested the corn for grain. </t>
  </si>
  <si>
    <t>The price is adjusted for the value of the phosphorus and potassium harvested in the stover.</t>
  </si>
  <si>
    <t xml:space="preserve">The seller will look at it from the standpoint of what is the value of the standing corn minus grain harvest costs. </t>
  </si>
  <si>
    <t xml:space="preserve">This spreadsheet adjusts the value of corn silage for quality based on what it would cost to purchase corn and straw to replace the nutritional value of corn silage. </t>
  </si>
  <si>
    <t>This would represent the maximum price the buyer would be willing to pay.</t>
  </si>
  <si>
    <t xml:space="preserve">The buyer will be looking at the price of standing corn in terms of quality and harvesting costs. </t>
  </si>
  <si>
    <t xml:space="preserve">Buyers and sellers need to consider local market conditions that would influence the final negotiated price. </t>
  </si>
  <si>
    <t xml:space="preserve">If the seller minimum is greater than the buyer maximum, it would be more economical to harvest the crop as grain versus silage. </t>
  </si>
  <si>
    <t xml:space="preserve">Because prices are likely to differ for buyer and seller, this spreadsheet is best suited to give a price range to start negotiations.  </t>
  </si>
  <si>
    <t>Developed By</t>
  </si>
  <si>
    <t>Dr. Joe Lauer: University of Wisconsin Corn Agronomist</t>
  </si>
  <si>
    <t>for your input in the development of this program</t>
  </si>
  <si>
    <t xml:space="preserve">Thank you Dr. Randy Shaver and Dr. Jim Linn </t>
  </si>
  <si>
    <t>Yield Information</t>
  </si>
  <si>
    <t>Estimated</t>
  </si>
  <si>
    <t>Actual</t>
  </si>
  <si>
    <t>Grain Yield Bushels/Acre</t>
  </si>
  <si>
    <t>Actual (if known)</t>
  </si>
  <si>
    <t xml:space="preserve">This spreadsheet is intended to provide a framework for negotiating the price of corn silage. </t>
  </si>
  <si>
    <t>Per Bushel</t>
  </si>
  <si>
    <t>Per Acre</t>
  </si>
  <si>
    <t>Trucking Cost</t>
  </si>
  <si>
    <t>Combining Cost</t>
  </si>
  <si>
    <t>Drying Cost</t>
  </si>
  <si>
    <t>Storage Cost</t>
  </si>
  <si>
    <t xml:space="preserve">Prices &amp; Adjustments </t>
  </si>
  <si>
    <t>P2O5</t>
  </si>
  <si>
    <t>K2O</t>
  </si>
  <si>
    <t>$/lb</t>
  </si>
  <si>
    <t>Yield</t>
  </si>
  <si>
    <t>Difference</t>
  </si>
  <si>
    <t>From UWEX publication A2809</t>
  </si>
  <si>
    <t>Buyer (Silage Perspective)</t>
  </si>
  <si>
    <t>(total)</t>
  </si>
  <si>
    <t>Gross Value/Acre</t>
  </si>
  <si>
    <t xml:space="preserve">Price Comparison (range to negotiate) </t>
  </si>
  <si>
    <t>Grain</t>
  </si>
  <si>
    <t>Silage</t>
  </si>
  <si>
    <t>P205 lb/bu or ton</t>
  </si>
  <si>
    <t>K20 lb/bu or ton</t>
  </si>
  <si>
    <t>P205 $/acre</t>
  </si>
  <si>
    <t>K20 $/acre</t>
  </si>
  <si>
    <t>Nutrient cost $/acre</t>
  </si>
  <si>
    <t>Nutrient Removal</t>
  </si>
  <si>
    <t>Value of Standing Corn Silage to Seller ($/ton wet basis)</t>
  </si>
  <si>
    <t>Value of Corn Silage to Seller ($/ton DM)</t>
  </si>
  <si>
    <t xml:space="preserve">Maximum Value/Acre Corn Silage to Buyer </t>
  </si>
  <si>
    <t xml:space="preserve">     (Gross Value Corn Silage - Silage Harvest Costs)</t>
  </si>
  <si>
    <t>$/Acre</t>
  </si>
  <si>
    <t xml:space="preserve">Minimum Value/Acre Corn Silage to Seller </t>
  </si>
  <si>
    <t>Corn Silage Pricing Adjusting for Moisture Spreadsheet</t>
  </si>
  <si>
    <t>enter a price in the yellow cell</t>
  </si>
  <si>
    <t>Base Price  ($/ton as fed) at 65% Moisture</t>
  </si>
  <si>
    <t>% Moisture</t>
  </si>
  <si>
    <t>(P205 and K20) Grain vs. Silage</t>
  </si>
  <si>
    <t xml:space="preserve">     (Gross Value of Crop - Grain Harvest Costs and plus Silage Harvest if applicable)</t>
  </si>
  <si>
    <t>Grain Harvest and Nutrient Removal Cost</t>
  </si>
  <si>
    <t>Toal Silage Harvest &amp; Storage Cost (if applicable)</t>
  </si>
  <si>
    <t>Compliments of Bill Halfman, UW-Extension Monroe County</t>
  </si>
  <si>
    <t xml:space="preserve">Most corn silage standards start with the assumption of 65% moisture.  </t>
  </si>
  <si>
    <t>This quick to use spreadsheet adjusts prices for moistures other than 65%.</t>
  </si>
  <si>
    <t>To use, enter your base price in the yellow cell (B14)</t>
  </si>
  <si>
    <t>(        )</t>
  </si>
  <si>
    <t>Difference in Nutrient Removal (added to minimum value)</t>
  </si>
  <si>
    <r>
      <rPr>
        <b/>
        <sz val="11"/>
        <rFont val="Calibri"/>
        <family val="2"/>
      </rPr>
      <t>©</t>
    </r>
    <r>
      <rPr>
        <b/>
        <sz val="11"/>
        <rFont val="Arial"/>
        <family val="2"/>
      </rPr>
      <t xml:space="preserve">2014 by the Board of Regents of the University of Wisconsin System, </t>
    </r>
  </si>
  <si>
    <t xml:space="preserve">  Doing business as the Division of Cooperative Extension of the University of Wisconsin-Extension</t>
  </si>
  <si>
    <t>August 2007  (Updated Nov 2009, Sept 2014, May 2018)</t>
  </si>
  <si>
    <t>https://www.nass.usda.gov/Statistics_by_State/Wisconsin/Publications/WI-CRate17.pdf</t>
  </si>
  <si>
    <t xml:space="preserve">Corn Grain Discount $/bushel </t>
  </si>
  <si>
    <t xml:space="preserve">Corn Silage/Tons Acre (Wet Basis) </t>
  </si>
  <si>
    <t xml:space="preserve">Local Market Price per ton for poor quality/low protein forage to Buyer </t>
  </si>
  <si>
    <r>
      <t xml:space="preserve">Average grain loss for harvest before black layer (Bushels/Acre) </t>
    </r>
  </si>
  <si>
    <t xml:space="preserve">     Over ride average loss for harvest before black layer</t>
  </si>
  <si>
    <t xml:space="preserve">Silage Harvest Costs </t>
  </si>
  <si>
    <r>
      <t>Silage Harvest Costs</t>
    </r>
    <r>
      <rPr>
        <sz val="16"/>
        <rFont val="Arial"/>
        <family val="2"/>
      </rPr>
      <t xml:space="preserve"> </t>
    </r>
    <r>
      <rPr>
        <sz val="12"/>
        <rFont val="Arial"/>
        <family val="2"/>
      </rPr>
      <t>(use actual, or refer to WI Custom Rate Guide 2017 for estimates)</t>
    </r>
  </si>
  <si>
    <r>
      <t xml:space="preserve">Harvest and Storage Loss </t>
    </r>
    <r>
      <rPr>
        <b/>
        <sz val="16"/>
        <color indexed="10"/>
        <rFont val="Arial"/>
        <family val="2"/>
      </rPr>
      <t xml:space="preserve">  </t>
    </r>
  </si>
  <si>
    <r>
      <rPr>
        <b/>
        <sz val="16"/>
        <rFont val="Arial"/>
        <family val="2"/>
      </rPr>
      <t xml:space="preserve">Harvest and Storage Loss </t>
    </r>
    <r>
      <rPr>
        <sz val="16"/>
        <color indexed="10"/>
        <rFont val="Arial"/>
        <family val="2"/>
      </rPr>
      <t xml:space="preserve">  </t>
    </r>
  </si>
  <si>
    <t xml:space="preserve">% Harvest and Storage Loss </t>
  </si>
  <si>
    <t xml:space="preserve">Harvest and Storage Loss </t>
  </si>
  <si>
    <r>
      <t>Seller (Grain Grower's Perspective)</t>
    </r>
    <r>
      <rPr>
        <sz val="12"/>
        <rFont val="Arial"/>
        <family val="2"/>
      </rPr>
      <t xml:space="preserve"> (use actual, or refer to WI Custom Rate Guide 2017 for estimates)</t>
    </r>
  </si>
  <si>
    <t xml:space="preserve"> Typical Harvest and Storage Losses Based on Storage Type</t>
  </si>
  <si>
    <t>http://learningstore.uwex.edu/assets/pdfs/A2809.pdf</t>
  </si>
  <si>
    <t>Enter Your Values into the Yellow Shaded Cells</t>
  </si>
  <si>
    <t>Ryan Sterry: UW-Extension Agriculture Agent - St. Croix County</t>
  </si>
  <si>
    <t>Lee Milligan:  Former UW-Extension Ag Agent - St. Croix County</t>
  </si>
  <si>
    <t>Thank you to Bill Halfman, UW-Extension Agriculture Agent - Monroe County,</t>
  </si>
  <si>
    <t>for the addition of the moisture adjustment tab and peer review of the pricing tab</t>
  </si>
  <si>
    <t>(          )</t>
  </si>
  <si>
    <t>Place cursor over red text for instructions and / or explanations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</si>
</sst>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ddd\,\ mmmm\ dd\,\ yyyy"/>
    <numFmt numFmtId="167" formatCode="0.000"/>
    <numFmt numFmtId="168" formatCode=";;;"/>
    <numFmt numFmtId="169" formatCode="0.0"/>
    <numFmt numFmtId="170" formatCode="#,##0.000"/>
    <numFmt numFmtId="171" formatCode="#,##0.0000"/>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94">
    <font>
      <sz val="10"/>
      <name val="Arial"/>
      <family val="0"/>
    </font>
    <font>
      <sz val="8"/>
      <name val="Arial"/>
      <family val="2"/>
    </font>
    <font>
      <b/>
      <sz val="10"/>
      <name val="Arial"/>
      <family val="2"/>
    </font>
    <font>
      <b/>
      <sz val="11"/>
      <name val="Arial"/>
      <family val="2"/>
    </font>
    <font>
      <b/>
      <sz val="10"/>
      <color indexed="16"/>
      <name val="Arial"/>
      <family val="2"/>
    </font>
    <font>
      <sz val="10"/>
      <color indexed="8"/>
      <name val="Arial"/>
      <family val="2"/>
    </font>
    <font>
      <b/>
      <sz val="10"/>
      <color indexed="19"/>
      <name val="Arial"/>
      <family val="2"/>
    </font>
    <font>
      <b/>
      <sz val="10"/>
      <color indexed="10"/>
      <name val="Arial"/>
      <family val="2"/>
    </font>
    <font>
      <sz val="10"/>
      <color indexed="10"/>
      <name val="Arial"/>
      <family val="2"/>
    </font>
    <font>
      <u val="single"/>
      <sz val="10"/>
      <color indexed="20"/>
      <name val="Arial"/>
      <family val="2"/>
    </font>
    <font>
      <u val="single"/>
      <sz val="10"/>
      <color indexed="12"/>
      <name val="Arial"/>
      <family val="2"/>
    </font>
    <font>
      <sz val="10"/>
      <color indexed="58"/>
      <name val="Arial"/>
      <family val="2"/>
    </font>
    <font>
      <sz val="12"/>
      <name val="Arial Narrow"/>
      <family val="2"/>
    </font>
    <font>
      <b/>
      <sz val="12"/>
      <color indexed="16"/>
      <name val="Arial"/>
      <family val="2"/>
    </font>
    <font>
      <b/>
      <sz val="16"/>
      <name val="Arial"/>
      <family val="2"/>
    </font>
    <font>
      <b/>
      <sz val="12"/>
      <color indexed="18"/>
      <name val="Arial"/>
      <family val="2"/>
    </font>
    <font>
      <sz val="14"/>
      <name val="Arial Narrow"/>
      <family val="2"/>
    </font>
    <font>
      <b/>
      <sz val="10"/>
      <color indexed="8"/>
      <name val="Arial"/>
      <family val="2"/>
    </font>
    <font>
      <b/>
      <sz val="14"/>
      <color indexed="8"/>
      <name val="Arial"/>
      <family val="2"/>
    </font>
    <font>
      <b/>
      <sz val="10"/>
      <color indexed="12"/>
      <name val="Arial"/>
      <family val="2"/>
    </font>
    <font>
      <sz val="10"/>
      <color indexed="12"/>
      <name val="Arial"/>
      <family val="2"/>
    </font>
    <font>
      <sz val="8"/>
      <name val="Tahoma"/>
      <family val="2"/>
    </font>
    <font>
      <u val="single"/>
      <sz val="10"/>
      <name val="Arial"/>
      <family val="2"/>
    </font>
    <font>
      <b/>
      <i/>
      <sz val="14"/>
      <name val="Arial Narrow"/>
      <family val="2"/>
    </font>
    <font>
      <sz val="16"/>
      <name val="Arial"/>
      <family val="2"/>
    </font>
    <font>
      <b/>
      <sz val="16"/>
      <color indexed="10"/>
      <name val="Arial"/>
      <family val="2"/>
    </font>
    <font>
      <b/>
      <sz val="16"/>
      <color indexed="8"/>
      <name val="Arial"/>
      <family val="2"/>
    </font>
    <font>
      <sz val="16"/>
      <color indexed="10"/>
      <name val="Arial"/>
      <family val="2"/>
    </font>
    <font>
      <sz val="16"/>
      <color indexed="8"/>
      <name val="Arial"/>
      <family val="2"/>
    </font>
    <font>
      <b/>
      <sz val="20"/>
      <name val="Arial"/>
      <family val="2"/>
    </font>
    <font>
      <sz val="14"/>
      <name val="Arial"/>
      <family val="2"/>
    </font>
    <font>
      <sz val="18"/>
      <name val="Arial"/>
      <family val="2"/>
    </font>
    <font>
      <b/>
      <sz val="11"/>
      <name val="Calibri"/>
      <family val="2"/>
    </font>
    <font>
      <sz val="9"/>
      <name val="Tahoma"/>
      <family val="2"/>
    </font>
    <font>
      <b/>
      <sz val="9"/>
      <name val="Tahoma"/>
      <family val="2"/>
    </font>
    <font>
      <sz val="14"/>
      <color indexed="10"/>
      <name val="Arial"/>
      <family val="2"/>
    </font>
    <font>
      <sz val="12"/>
      <name val="Arial"/>
      <family val="2"/>
    </font>
    <font>
      <b/>
      <sz val="18"/>
      <color indexed="8"/>
      <name val="Arial"/>
      <family val="2"/>
    </font>
    <font>
      <b/>
      <sz val="20"/>
      <color indexed="59"/>
      <name val="Arial"/>
      <family val="2"/>
    </font>
    <font>
      <sz val="20"/>
      <name val="Arial"/>
      <family val="2"/>
    </font>
    <font>
      <b/>
      <sz val="2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6"/>
      <color indexed="9"/>
      <name val="Arial"/>
      <family val="2"/>
    </font>
    <font>
      <b/>
      <sz val="18"/>
      <color indexed="8"/>
      <name val="Calibri"/>
      <family val="2"/>
    </font>
    <font>
      <b/>
      <sz val="16"/>
      <color indexed="8"/>
      <name val="Calibri"/>
      <family val="2"/>
    </font>
    <font>
      <b/>
      <sz val="12"/>
      <color indexed="8"/>
      <name val="Calibri"/>
      <family val="2"/>
    </font>
    <font>
      <sz val="8"/>
      <name val="Segoe UI"/>
      <family val="2"/>
    </font>
    <font>
      <sz val="14"/>
      <color indexed="8"/>
      <name val="Arial"/>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0"/>
      <name val="Arial"/>
      <family val="2"/>
    </font>
    <font>
      <sz val="16"/>
      <color theme="1"/>
      <name val="Arial"/>
      <family val="2"/>
    </font>
    <font>
      <sz val="16"/>
      <color theme="0"/>
      <name val="Arial"/>
      <family val="2"/>
    </font>
    <font>
      <b/>
      <sz val="18"/>
      <color theme="1"/>
      <name val="Calibri"/>
      <family val="2"/>
    </font>
    <font>
      <b/>
      <sz val="16"/>
      <color theme="1"/>
      <name val="Calibri"/>
      <family val="2"/>
    </font>
    <font>
      <b/>
      <sz val="12"/>
      <color theme="1"/>
      <name val="Calibri"/>
      <family val="2"/>
    </font>
    <font>
      <sz val="16"/>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AEEBA9"/>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67" fillId="0" borderId="0" applyFon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67"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75">
    <xf numFmtId="0" fontId="0" fillId="0" borderId="0" xfId="0" applyAlignment="1">
      <alignment/>
    </xf>
    <xf numFmtId="0" fontId="0" fillId="33" borderId="0" xfId="0" applyFill="1" applyAlignment="1" applyProtection="1">
      <alignment/>
      <protection hidden="1"/>
    </xf>
    <xf numFmtId="0" fontId="0" fillId="33" borderId="0" xfId="0" applyFill="1" applyAlignment="1" applyProtection="1">
      <alignment/>
      <protection/>
    </xf>
    <xf numFmtId="10" fontId="0" fillId="33" borderId="0" xfId="0" applyNumberFormat="1" applyFill="1" applyAlignment="1" applyProtection="1">
      <alignment/>
      <protection hidden="1"/>
    </xf>
    <xf numFmtId="0" fontId="2" fillId="33" borderId="0" xfId="0" applyFont="1" applyFill="1" applyAlignment="1" applyProtection="1">
      <alignment/>
      <protection/>
    </xf>
    <xf numFmtId="0" fontId="7" fillId="33" borderId="0" xfId="0" applyFont="1" applyFill="1" applyAlignment="1" applyProtection="1">
      <alignment/>
      <protection/>
    </xf>
    <xf numFmtId="0" fontId="6" fillId="33" borderId="0" xfId="0" applyFont="1" applyFill="1" applyAlignment="1" applyProtection="1">
      <alignment/>
      <protection/>
    </xf>
    <xf numFmtId="164" fontId="6" fillId="33" borderId="0" xfId="0" applyNumberFormat="1" applyFont="1" applyFill="1" applyAlignment="1" applyProtection="1">
      <alignment/>
      <protection/>
    </xf>
    <xf numFmtId="0" fontId="18" fillId="33" borderId="0" xfId="0" applyFont="1" applyFill="1" applyAlignment="1" applyProtection="1">
      <alignment/>
      <protection/>
    </xf>
    <xf numFmtId="0" fontId="17" fillId="33" borderId="0" xfId="0" applyFont="1" applyFill="1" applyAlignment="1" applyProtection="1">
      <alignment/>
      <protection/>
    </xf>
    <xf numFmtId="0" fontId="8" fillId="33" borderId="0" xfId="0" applyFont="1" applyFill="1" applyAlignment="1" applyProtection="1">
      <alignment/>
      <protection/>
    </xf>
    <xf numFmtId="0" fontId="11" fillId="33" borderId="0" xfId="0" applyFont="1" applyFill="1" applyAlignment="1" applyProtection="1">
      <alignment/>
      <protection/>
    </xf>
    <xf numFmtId="0" fontId="0" fillId="33"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protection/>
    </xf>
    <xf numFmtId="164" fontId="19" fillId="33" borderId="0" xfId="0" applyNumberFormat="1" applyFont="1" applyFill="1" applyAlignment="1" applyProtection="1">
      <alignment/>
      <protection/>
    </xf>
    <xf numFmtId="0" fontId="0" fillId="34" borderId="0" xfId="0" applyFill="1" applyAlignment="1">
      <alignment/>
    </xf>
    <xf numFmtId="0" fontId="2" fillId="34" borderId="0" xfId="0" applyFont="1" applyFill="1" applyAlignment="1">
      <alignment horizontal="center"/>
    </xf>
    <xf numFmtId="0" fontId="3" fillId="34" borderId="0" xfId="0" applyFont="1" applyFill="1" applyAlignment="1">
      <alignment/>
    </xf>
    <xf numFmtId="0" fontId="0" fillId="34" borderId="0" xfId="0" applyFill="1" applyAlignment="1" applyProtection="1">
      <alignment/>
      <protection locked="0"/>
    </xf>
    <xf numFmtId="9" fontId="0" fillId="34" borderId="0" xfId="0" applyNumberFormat="1" applyFill="1" applyAlignment="1" applyProtection="1">
      <alignment/>
      <protection locked="0"/>
    </xf>
    <xf numFmtId="2" fontId="0" fillId="34" borderId="0" xfId="0" applyNumberFormat="1" applyFill="1" applyAlignment="1">
      <alignment/>
    </xf>
    <xf numFmtId="0" fontId="22" fillId="33" borderId="0" xfId="0" applyFont="1" applyFill="1" applyAlignment="1" applyProtection="1">
      <alignment/>
      <protection/>
    </xf>
    <xf numFmtId="0" fontId="8" fillId="33" borderId="0" xfId="0" applyFont="1" applyFill="1" applyAlignment="1" applyProtection="1">
      <alignment/>
      <protection/>
    </xf>
    <xf numFmtId="0" fontId="85" fillId="33" borderId="0" xfId="0" applyFont="1" applyFill="1" applyAlignment="1" applyProtection="1">
      <alignment/>
      <protection/>
    </xf>
    <xf numFmtId="0" fontId="86" fillId="33" borderId="0" xfId="0" applyFont="1" applyFill="1" applyAlignment="1" applyProtection="1">
      <alignment/>
      <protection/>
    </xf>
    <xf numFmtId="0" fontId="24" fillId="33" borderId="0" xfId="0" applyFont="1" applyFill="1" applyAlignment="1" applyProtection="1">
      <alignment/>
      <protection/>
    </xf>
    <xf numFmtId="0" fontId="24" fillId="33" borderId="0" xfId="0" applyFont="1" applyFill="1" applyBorder="1" applyAlignment="1" applyProtection="1">
      <alignment/>
      <protection/>
    </xf>
    <xf numFmtId="0" fontId="24" fillId="35" borderId="0" xfId="0" applyFont="1" applyFill="1" applyBorder="1" applyAlignment="1" applyProtection="1">
      <alignment/>
      <protection/>
    </xf>
    <xf numFmtId="44" fontId="87" fillId="36" borderId="0" xfId="48" applyFont="1" applyFill="1" applyAlignment="1">
      <alignment horizontal="center"/>
    </xf>
    <xf numFmtId="0" fontId="24" fillId="36" borderId="0" xfId="0" applyFont="1" applyFill="1" applyAlignment="1">
      <alignment horizontal="center"/>
    </xf>
    <xf numFmtId="0" fontId="24" fillId="33" borderId="10" xfId="0" applyFont="1" applyFill="1" applyBorder="1" applyAlignment="1" applyProtection="1">
      <alignment/>
      <protection/>
    </xf>
    <xf numFmtId="0" fontId="24" fillId="33" borderId="11" xfId="0" applyFont="1" applyFill="1" applyBorder="1" applyAlignment="1" applyProtection="1">
      <alignment/>
      <protection/>
    </xf>
    <xf numFmtId="0" fontId="14" fillId="33" borderId="0" xfId="0" applyFont="1" applyFill="1" applyAlignment="1" applyProtection="1">
      <alignment/>
      <protection/>
    </xf>
    <xf numFmtId="0" fontId="14" fillId="33" borderId="0" xfId="0" applyFont="1" applyFill="1" applyBorder="1" applyAlignment="1" applyProtection="1">
      <alignment/>
      <protection/>
    </xf>
    <xf numFmtId="0" fontId="14" fillId="33" borderId="0" xfId="0" applyFont="1" applyFill="1" applyAlignment="1" applyProtection="1">
      <alignment horizontal="center"/>
      <protection/>
    </xf>
    <xf numFmtId="0" fontId="24" fillId="37" borderId="0" xfId="0" applyFont="1" applyFill="1" applyAlignment="1" applyProtection="1">
      <alignment/>
      <protection locked="0"/>
    </xf>
    <xf numFmtId="0" fontId="24" fillId="33" borderId="0" xfId="0" applyFont="1" applyFill="1" applyAlignment="1" applyProtection="1">
      <alignment horizontal="right"/>
      <protection/>
    </xf>
    <xf numFmtId="2" fontId="87" fillId="36" borderId="0" xfId="48" applyNumberFormat="1" applyFont="1" applyFill="1" applyAlignment="1">
      <alignment horizontal="center"/>
    </xf>
    <xf numFmtId="2" fontId="87" fillId="36" borderId="0" xfId="48" applyNumberFormat="1" applyFont="1" applyFill="1" applyBorder="1" applyAlignment="1">
      <alignment horizontal="center"/>
    </xf>
    <xf numFmtId="0" fontId="24" fillId="0" borderId="0" xfId="0" applyFont="1" applyFill="1" applyAlignment="1" applyProtection="1">
      <alignment/>
      <protection locked="0"/>
    </xf>
    <xf numFmtId="9" fontId="24" fillId="33" borderId="0" xfId="0" applyNumberFormat="1" applyFont="1" applyFill="1" applyAlignment="1" applyProtection="1">
      <alignment/>
      <protection/>
    </xf>
    <xf numFmtId="9" fontId="24" fillId="37" borderId="0" xfId="0" applyNumberFormat="1" applyFont="1" applyFill="1" applyBorder="1" applyAlignment="1" applyProtection="1">
      <alignment/>
      <protection locked="0"/>
    </xf>
    <xf numFmtId="9" fontId="24" fillId="33" borderId="0" xfId="0" applyNumberFormat="1" applyFont="1" applyFill="1" applyBorder="1" applyAlignment="1" applyProtection="1">
      <alignment/>
      <protection/>
    </xf>
    <xf numFmtId="0" fontId="24" fillId="33" borderId="0" xfId="0" applyFont="1" applyFill="1" applyBorder="1" applyAlignment="1" applyProtection="1">
      <alignment horizontal="right"/>
      <protection/>
    </xf>
    <xf numFmtId="2" fontId="24" fillId="36" borderId="0" xfId="0" applyNumberFormat="1" applyFont="1" applyFill="1" applyAlignment="1">
      <alignment horizontal="center"/>
    </xf>
    <xf numFmtId="2" fontId="24" fillId="36" borderId="0" xfId="0" applyNumberFormat="1" applyFont="1" applyFill="1" applyBorder="1" applyAlignment="1">
      <alignment horizontal="center"/>
    </xf>
    <xf numFmtId="9" fontId="24" fillId="34" borderId="0" xfId="0" applyNumberFormat="1" applyFont="1" applyFill="1" applyBorder="1" applyAlignment="1" applyProtection="1">
      <alignment/>
      <protection locked="0"/>
    </xf>
    <xf numFmtId="9" fontId="14" fillId="33" borderId="0" xfId="0" applyNumberFormat="1" applyFont="1" applyFill="1" applyAlignment="1" applyProtection="1">
      <alignment horizontal="center"/>
      <protection/>
    </xf>
    <xf numFmtId="0" fontId="14" fillId="33" borderId="0" xfId="0" applyFont="1" applyFill="1" applyBorder="1" applyAlignment="1" applyProtection="1">
      <alignment horizontal="center"/>
      <protection/>
    </xf>
    <xf numFmtId="2" fontId="24" fillId="36" borderId="0" xfId="0" applyNumberFormat="1" applyFont="1" applyFill="1" applyAlignment="1" applyProtection="1">
      <alignment horizontal="center"/>
      <protection/>
    </xf>
    <xf numFmtId="2" fontId="24" fillId="37" borderId="0" xfId="0" applyNumberFormat="1" applyFont="1" applyFill="1" applyBorder="1" applyAlignment="1" applyProtection="1">
      <alignment/>
      <protection locked="0"/>
    </xf>
    <xf numFmtId="2" fontId="88" fillId="0" borderId="0" xfId="0" applyNumberFormat="1" applyFont="1" applyFill="1" applyBorder="1" applyAlignment="1" applyProtection="1">
      <alignment/>
      <protection/>
    </xf>
    <xf numFmtId="2" fontId="24" fillId="34" borderId="0" xfId="0" applyNumberFormat="1" applyFont="1" applyFill="1" applyBorder="1" applyAlignment="1" applyProtection="1">
      <alignment/>
      <protection/>
    </xf>
    <xf numFmtId="2" fontId="24" fillId="36" borderId="0" xfId="0" applyNumberFormat="1" applyFont="1" applyFill="1" applyBorder="1" applyAlignment="1" applyProtection="1">
      <alignment/>
      <protection locked="0"/>
    </xf>
    <xf numFmtId="2" fontId="28" fillId="36" borderId="0" xfId="0" applyNumberFormat="1" applyFont="1" applyFill="1" applyBorder="1" applyAlignment="1" applyProtection="1">
      <alignment/>
      <protection/>
    </xf>
    <xf numFmtId="2" fontId="14" fillId="33" borderId="0" xfId="0" applyNumberFormat="1" applyFont="1" applyFill="1" applyAlignment="1" applyProtection="1">
      <alignment/>
      <protection/>
    </xf>
    <xf numFmtId="2" fontId="24" fillId="33" borderId="0" xfId="0" applyNumberFormat="1" applyFont="1" applyFill="1" applyAlignment="1" applyProtection="1">
      <alignment/>
      <protection/>
    </xf>
    <xf numFmtId="164" fontId="24" fillId="37" borderId="0" xfId="0" applyNumberFormat="1" applyFont="1" applyFill="1" applyAlignment="1" applyProtection="1">
      <alignment/>
      <protection locked="0"/>
    </xf>
    <xf numFmtId="0" fontId="14" fillId="33" borderId="0" xfId="0" applyFont="1" applyFill="1" applyAlignment="1" applyProtection="1">
      <alignment horizontal="right"/>
      <protection/>
    </xf>
    <xf numFmtId="2" fontId="14" fillId="36" borderId="0" xfId="0" applyNumberFormat="1" applyFont="1" applyFill="1" applyAlignment="1">
      <alignment horizontal="center"/>
    </xf>
    <xf numFmtId="164" fontId="24" fillId="36" borderId="0" xfId="0" applyNumberFormat="1" applyFont="1" applyFill="1" applyAlignment="1" applyProtection="1">
      <alignment/>
      <protection locked="0"/>
    </xf>
    <xf numFmtId="164" fontId="24" fillId="33" borderId="0" xfId="0" applyNumberFormat="1" applyFont="1" applyFill="1" applyAlignment="1" applyProtection="1">
      <alignment/>
      <protection/>
    </xf>
    <xf numFmtId="165" fontId="24" fillId="37" borderId="0" xfId="0" applyNumberFormat="1" applyFont="1" applyFill="1" applyAlignment="1" applyProtection="1">
      <alignment/>
      <protection locked="0"/>
    </xf>
    <xf numFmtId="0" fontId="24" fillId="36" borderId="0" xfId="0" applyFont="1" applyFill="1" applyAlignment="1" applyProtection="1">
      <alignment/>
      <protection/>
    </xf>
    <xf numFmtId="3" fontId="24" fillId="33" borderId="0" xfId="0" applyNumberFormat="1" applyFont="1" applyFill="1" applyAlignment="1" applyProtection="1">
      <alignment/>
      <protection/>
    </xf>
    <xf numFmtId="2" fontId="24" fillId="36" borderId="0" xfId="0" applyNumberFormat="1" applyFont="1" applyFill="1" applyAlignment="1" applyProtection="1">
      <alignment/>
      <protection locked="0"/>
    </xf>
    <xf numFmtId="1" fontId="88" fillId="0" borderId="0" xfId="0" applyNumberFormat="1" applyFont="1" applyFill="1" applyBorder="1" applyAlignment="1" applyProtection="1">
      <alignment/>
      <protection/>
    </xf>
    <xf numFmtId="0" fontId="14" fillId="33" borderId="12" xfId="0" applyFont="1" applyFill="1" applyBorder="1" applyAlignment="1" applyProtection="1">
      <alignment/>
      <protection/>
    </xf>
    <xf numFmtId="165" fontId="14" fillId="33" borderId="12" xfId="0" applyNumberFormat="1" applyFont="1" applyFill="1" applyBorder="1" applyAlignment="1" applyProtection="1">
      <alignment/>
      <protection/>
    </xf>
    <xf numFmtId="0" fontId="14" fillId="33" borderId="10" xfId="0" applyFont="1" applyFill="1" applyBorder="1" applyAlignment="1" applyProtection="1">
      <alignment/>
      <protection/>
    </xf>
    <xf numFmtId="2" fontId="24" fillId="36" borderId="10" xfId="0" applyNumberFormat="1" applyFont="1" applyFill="1" applyBorder="1" applyAlignment="1" applyProtection="1">
      <alignment horizontal="center"/>
      <protection/>
    </xf>
    <xf numFmtId="2" fontId="28" fillId="36" borderId="10" xfId="0" applyNumberFormat="1" applyFont="1" applyFill="1" applyBorder="1" applyAlignment="1" applyProtection="1">
      <alignment/>
      <protection/>
    </xf>
    <xf numFmtId="0" fontId="14" fillId="33" borderId="13" xfId="0" applyFont="1" applyFill="1" applyBorder="1" applyAlignment="1" applyProtection="1">
      <alignment/>
      <protection/>
    </xf>
    <xf numFmtId="2" fontId="24" fillId="34" borderId="10" xfId="0" applyNumberFormat="1" applyFont="1" applyFill="1" applyBorder="1" applyAlignment="1" applyProtection="1">
      <alignment/>
      <protection/>
    </xf>
    <xf numFmtId="0" fontId="24" fillId="33" borderId="14" xfId="0" applyFont="1" applyFill="1" applyBorder="1" applyAlignment="1" applyProtection="1">
      <alignment/>
      <protection/>
    </xf>
    <xf numFmtId="9" fontId="24" fillId="34" borderId="14" xfId="0" applyNumberFormat="1" applyFont="1" applyFill="1" applyBorder="1" applyAlignment="1" applyProtection="1">
      <alignment/>
      <protection locked="0"/>
    </xf>
    <xf numFmtId="9" fontId="24" fillId="37" borderId="0" xfId="0" applyNumberFormat="1" applyFont="1" applyFill="1" applyAlignment="1" applyProtection="1">
      <alignment/>
      <protection locked="0"/>
    </xf>
    <xf numFmtId="9" fontId="88" fillId="36" borderId="0" xfId="0" applyNumberFormat="1" applyFont="1" applyFill="1" applyAlignment="1" applyProtection="1">
      <alignment/>
      <protection/>
    </xf>
    <xf numFmtId="0" fontId="14" fillId="33" borderId="14" xfId="0" applyFont="1" applyFill="1" applyBorder="1" applyAlignment="1" applyProtection="1">
      <alignment/>
      <protection locked="0"/>
    </xf>
    <xf numFmtId="164" fontId="14" fillId="33" borderId="0" xfId="0" applyNumberFormat="1" applyFont="1" applyFill="1" applyAlignment="1" applyProtection="1">
      <alignment/>
      <protection/>
    </xf>
    <xf numFmtId="10" fontId="24" fillId="37" borderId="0" xfId="0" applyNumberFormat="1" applyFont="1" applyFill="1" applyAlignment="1" applyProtection="1">
      <alignment/>
      <protection locked="0"/>
    </xf>
    <xf numFmtId="164" fontId="14" fillId="33" borderId="10" xfId="0" applyNumberFormat="1" applyFont="1" applyFill="1" applyBorder="1" applyAlignment="1" applyProtection="1">
      <alignment/>
      <protection/>
    </xf>
    <xf numFmtId="164" fontId="24" fillId="33" borderId="10" xfId="0" applyNumberFormat="1" applyFont="1" applyFill="1" applyBorder="1" applyAlignment="1" applyProtection="1">
      <alignment/>
      <protection/>
    </xf>
    <xf numFmtId="0" fontId="14" fillId="33" borderId="14" xfId="0" applyFont="1" applyFill="1" applyBorder="1" applyAlignment="1" applyProtection="1">
      <alignment/>
      <protection/>
    </xf>
    <xf numFmtId="164" fontId="14" fillId="33" borderId="0" xfId="0" applyNumberFormat="1" applyFont="1" applyFill="1" applyBorder="1" applyAlignment="1" applyProtection="1">
      <alignment/>
      <protection/>
    </xf>
    <xf numFmtId="164" fontId="24" fillId="33" borderId="0" xfId="0" applyNumberFormat="1" applyFont="1" applyFill="1" applyBorder="1" applyAlignment="1" applyProtection="1">
      <alignment/>
      <protection/>
    </xf>
    <xf numFmtId="164" fontId="14" fillId="33" borderId="15" xfId="0" applyNumberFormat="1" applyFont="1" applyFill="1" applyBorder="1" applyAlignment="1" applyProtection="1">
      <alignment/>
      <protection/>
    </xf>
    <xf numFmtId="2" fontId="14" fillId="36" borderId="10" xfId="0" applyNumberFormat="1" applyFont="1" applyFill="1" applyBorder="1" applyAlignment="1" applyProtection="1">
      <alignment horizontal="center"/>
      <protection/>
    </xf>
    <xf numFmtId="164" fontId="14" fillId="33" borderId="11" xfId="0" applyNumberFormat="1" applyFont="1" applyFill="1" applyBorder="1" applyAlignment="1" applyProtection="1">
      <alignment/>
      <protection/>
    </xf>
    <xf numFmtId="0" fontId="26" fillId="33" borderId="0" xfId="0" applyFont="1" applyFill="1" applyAlignment="1" applyProtection="1">
      <alignment/>
      <protection/>
    </xf>
    <xf numFmtId="0" fontId="14" fillId="33" borderId="0" xfId="0" applyFont="1" applyFill="1" applyAlignment="1" applyProtection="1">
      <alignment vertical="top"/>
      <protection/>
    </xf>
    <xf numFmtId="44" fontId="24" fillId="33" borderId="0" xfId="45" applyFont="1" applyFill="1" applyAlignment="1" applyProtection="1">
      <alignment/>
      <protection/>
    </xf>
    <xf numFmtId="165" fontId="14" fillId="33" borderId="0" xfId="0" applyNumberFormat="1" applyFont="1" applyFill="1" applyBorder="1" applyAlignment="1" applyProtection="1">
      <alignment/>
      <protection/>
    </xf>
    <xf numFmtId="6" fontId="24" fillId="36" borderId="0" xfId="0" applyNumberFormat="1" applyFont="1" applyFill="1" applyAlignment="1" applyProtection="1">
      <alignment/>
      <protection/>
    </xf>
    <xf numFmtId="0" fontId="24" fillId="36" borderId="0" xfId="0" applyFont="1" applyFill="1" applyBorder="1" applyAlignment="1" applyProtection="1">
      <alignment/>
      <protection/>
    </xf>
    <xf numFmtId="164" fontId="24" fillId="36" borderId="0" xfId="0" applyNumberFormat="1" applyFont="1" applyFill="1" applyAlignment="1" applyProtection="1">
      <alignment/>
      <protection/>
    </xf>
    <xf numFmtId="0" fontId="0" fillId="36" borderId="0" xfId="0" applyFill="1" applyAlignment="1" applyProtection="1">
      <alignment/>
      <protection/>
    </xf>
    <xf numFmtId="0" fontId="30" fillId="0" borderId="0" xfId="0" applyFont="1" applyAlignment="1">
      <alignment/>
    </xf>
    <xf numFmtId="0" fontId="30" fillId="38" borderId="16" xfId="0" applyFont="1" applyFill="1" applyBorder="1" applyAlignment="1">
      <alignment/>
    </xf>
    <xf numFmtId="0" fontId="30" fillId="38" borderId="17" xfId="0" applyFont="1" applyFill="1" applyBorder="1" applyAlignment="1">
      <alignment/>
    </xf>
    <xf numFmtId="0" fontId="30" fillId="38" borderId="18" xfId="0" applyFont="1" applyFill="1" applyBorder="1" applyAlignment="1">
      <alignment/>
    </xf>
    <xf numFmtId="0" fontId="30" fillId="8" borderId="19" xfId="0" applyFont="1" applyFill="1" applyBorder="1" applyAlignment="1">
      <alignment/>
    </xf>
    <xf numFmtId="164" fontId="30" fillId="35" borderId="18" xfId="0" applyNumberFormat="1" applyFont="1" applyFill="1" applyBorder="1" applyAlignment="1" applyProtection="1">
      <alignment horizontal="center"/>
      <protection locked="0"/>
    </xf>
    <xf numFmtId="9" fontId="30" fillId="8" borderId="20" xfId="0" applyNumberFormat="1" applyFont="1" applyFill="1" applyBorder="1" applyAlignment="1">
      <alignment horizontal="center"/>
    </xf>
    <xf numFmtId="164" fontId="30" fillId="0" borderId="20" xfId="0" applyNumberFormat="1" applyFont="1" applyBorder="1" applyAlignment="1">
      <alignment horizontal="center"/>
    </xf>
    <xf numFmtId="9" fontId="30" fillId="8" borderId="21" xfId="0" applyNumberFormat="1" applyFont="1" applyFill="1" applyBorder="1" applyAlignment="1">
      <alignment horizontal="center"/>
    </xf>
    <xf numFmtId="164" fontId="30" fillId="0" borderId="21" xfId="0" applyNumberFormat="1" applyFont="1" applyBorder="1" applyAlignment="1">
      <alignment horizontal="center"/>
    </xf>
    <xf numFmtId="9" fontId="30" fillId="39" borderId="21" xfId="0" applyNumberFormat="1" applyFont="1" applyFill="1" applyBorder="1" applyAlignment="1">
      <alignment horizontal="center"/>
    </xf>
    <xf numFmtId="164" fontId="30" fillId="39" borderId="21" xfId="0" applyNumberFormat="1" applyFont="1" applyFill="1" applyBorder="1" applyAlignment="1">
      <alignment horizontal="center"/>
    </xf>
    <xf numFmtId="0" fontId="89" fillId="0" borderId="0" xfId="0" applyFont="1" applyAlignment="1">
      <alignment/>
    </xf>
    <xf numFmtId="0" fontId="31" fillId="0" borderId="0" xfId="0" applyFont="1" applyAlignment="1">
      <alignment/>
    </xf>
    <xf numFmtId="0" fontId="90" fillId="0" borderId="0" xfId="0" applyFont="1" applyAlignment="1">
      <alignment/>
    </xf>
    <xf numFmtId="0" fontId="91" fillId="0" borderId="0" xfId="0" applyFont="1" applyAlignment="1">
      <alignment/>
    </xf>
    <xf numFmtId="164" fontId="30" fillId="38" borderId="19" xfId="0" applyNumberFormat="1" applyFont="1" applyFill="1" applyBorder="1" applyAlignment="1" applyProtection="1">
      <alignment horizontal="center"/>
      <protection/>
    </xf>
    <xf numFmtId="164" fontId="30" fillId="0" borderId="20" xfId="0" applyNumberFormat="1" applyFont="1" applyBorder="1" applyAlignment="1" applyProtection="1">
      <alignment horizontal="center"/>
      <protection/>
    </xf>
    <xf numFmtId="164" fontId="30" fillId="0" borderId="21" xfId="0" applyNumberFormat="1" applyFont="1" applyBorder="1" applyAlignment="1" applyProtection="1">
      <alignment horizontal="center"/>
      <protection/>
    </xf>
    <xf numFmtId="164" fontId="30" fillId="39" borderId="21" xfId="0" applyNumberFormat="1" applyFont="1" applyFill="1" applyBorder="1" applyAlignment="1" applyProtection="1">
      <alignment horizontal="center"/>
      <protection/>
    </xf>
    <xf numFmtId="10" fontId="24" fillId="36" borderId="0" xfId="0" applyNumberFormat="1" applyFont="1" applyFill="1" applyAlignment="1" applyProtection="1">
      <alignment/>
      <protection/>
    </xf>
    <xf numFmtId="164" fontId="14" fillId="36" borderId="10" xfId="0" applyNumberFormat="1" applyFont="1" applyFill="1" applyBorder="1" applyAlignment="1" applyProtection="1">
      <alignment/>
      <protection/>
    </xf>
    <xf numFmtId="44" fontId="24" fillId="34" borderId="0" xfId="45" applyFont="1" applyFill="1" applyAlignment="1" applyProtection="1">
      <alignment/>
      <protection/>
    </xf>
    <xf numFmtId="2" fontId="24" fillId="36" borderId="10" xfId="0" applyNumberFormat="1" applyFont="1" applyFill="1" applyBorder="1" applyAlignment="1" applyProtection="1">
      <alignment/>
      <protection/>
    </xf>
    <xf numFmtId="3" fontId="24" fillId="35" borderId="0" xfId="0" applyNumberFormat="1" applyFont="1" applyFill="1" applyAlignment="1" applyProtection="1">
      <alignment/>
      <protection locked="0"/>
    </xf>
    <xf numFmtId="6" fontId="24" fillId="37" borderId="0" xfId="0" applyNumberFormat="1" applyFont="1" applyFill="1" applyAlignment="1" applyProtection="1">
      <alignment/>
      <protection locked="0"/>
    </xf>
    <xf numFmtId="0" fontId="24" fillId="35" borderId="22" xfId="0" applyFont="1" applyFill="1" applyBorder="1" applyAlignment="1" applyProtection="1">
      <alignment horizontal="center"/>
      <protection locked="0"/>
    </xf>
    <xf numFmtId="0" fontId="24" fillId="33" borderId="0" xfId="0" applyFont="1" applyFill="1" applyAlignment="1" applyProtection="1">
      <alignment/>
      <protection locked="0"/>
    </xf>
    <xf numFmtId="0" fontId="14" fillId="34" borderId="23" xfId="0" applyFont="1" applyFill="1" applyBorder="1" applyAlignment="1" applyProtection="1">
      <alignment horizontal="center"/>
      <protection/>
    </xf>
    <xf numFmtId="0" fontId="0" fillId="34" borderId="12" xfId="0" applyFill="1" applyBorder="1" applyAlignment="1" applyProtection="1">
      <alignment/>
      <protection/>
    </xf>
    <xf numFmtId="0" fontId="0" fillId="34" borderId="24" xfId="0" applyFill="1" applyBorder="1" applyAlignment="1" applyProtection="1">
      <alignment/>
      <protection/>
    </xf>
    <xf numFmtId="49" fontId="2" fillId="34" borderId="14" xfId="0" applyNumberFormat="1" applyFont="1" applyFill="1" applyBorder="1" applyAlignment="1" applyProtection="1">
      <alignment horizontal="center"/>
      <protection/>
    </xf>
    <xf numFmtId="0" fontId="0" fillId="34" borderId="0" xfId="0" applyFill="1" applyBorder="1" applyAlignment="1" applyProtection="1">
      <alignment/>
      <protection/>
    </xf>
    <xf numFmtId="0" fontId="0" fillId="34" borderId="15" xfId="0" applyFill="1" applyBorder="1" applyAlignment="1" applyProtection="1">
      <alignment/>
      <protection/>
    </xf>
    <xf numFmtId="49" fontId="13" fillId="34" borderId="14" xfId="0" applyNumberFormat="1" applyFont="1" applyFill="1" applyBorder="1" applyAlignment="1" applyProtection="1">
      <alignment horizontal="center"/>
      <protection/>
    </xf>
    <xf numFmtId="49" fontId="15" fillId="34" borderId="14" xfId="0" applyNumberFormat="1" applyFont="1" applyFill="1" applyBorder="1" applyAlignment="1" applyProtection="1">
      <alignment horizontal="center"/>
      <protection/>
    </xf>
    <xf numFmtId="49" fontId="15" fillId="34" borderId="0" xfId="0" applyNumberFormat="1" applyFont="1" applyFill="1" applyBorder="1" applyAlignment="1" applyProtection="1">
      <alignment horizontal="center"/>
      <protection/>
    </xf>
    <xf numFmtId="0" fontId="15" fillId="34" borderId="0" xfId="0" applyFont="1" applyFill="1" applyBorder="1" applyAlignment="1" applyProtection="1">
      <alignment horizontal="center"/>
      <protection/>
    </xf>
    <xf numFmtId="49" fontId="3" fillId="34" borderId="0" xfId="0" applyNumberFormat="1" applyFont="1" applyFill="1" applyBorder="1" applyAlignment="1" applyProtection="1">
      <alignment horizontal="center"/>
      <protection/>
    </xf>
    <xf numFmtId="0" fontId="3" fillId="34" borderId="10" xfId="0" applyFont="1" applyFill="1" applyBorder="1" applyAlignment="1" applyProtection="1">
      <alignment/>
      <protection/>
    </xf>
    <xf numFmtId="0" fontId="0" fillId="34" borderId="10" xfId="0" applyFill="1" applyBorder="1" applyAlignment="1" applyProtection="1">
      <alignment/>
      <protection/>
    </xf>
    <xf numFmtId="0" fontId="0" fillId="34" borderId="11" xfId="0" applyFill="1" applyBorder="1" applyAlignment="1" applyProtection="1">
      <alignment/>
      <protection/>
    </xf>
    <xf numFmtId="0" fontId="4" fillId="34" borderId="0" xfId="0" applyFont="1" applyFill="1" applyBorder="1" applyAlignment="1" applyProtection="1">
      <alignment horizontal="left"/>
      <protection/>
    </xf>
    <xf numFmtId="0" fontId="16" fillId="34" borderId="0" xfId="0" applyFont="1" applyFill="1" applyAlignment="1" applyProtection="1">
      <alignment/>
      <protection/>
    </xf>
    <xf numFmtId="0" fontId="23" fillId="34" borderId="0" xfId="0" applyFont="1" applyFill="1" applyAlignment="1" applyProtection="1">
      <alignment/>
      <protection/>
    </xf>
    <xf numFmtId="0" fontId="5" fillId="34" borderId="0" xfId="0" applyFont="1" applyFill="1" applyBorder="1" applyAlignment="1" applyProtection="1">
      <alignment/>
      <protection/>
    </xf>
    <xf numFmtId="0" fontId="12" fillId="34" borderId="0" xfId="0" applyFont="1" applyFill="1" applyAlignment="1" applyProtection="1">
      <alignment/>
      <protection/>
    </xf>
    <xf numFmtId="0" fontId="2" fillId="34" borderId="0" xfId="0" applyFont="1" applyFill="1" applyAlignment="1" applyProtection="1">
      <alignment horizontal="center"/>
      <protection/>
    </xf>
    <xf numFmtId="0" fontId="14" fillId="33" borderId="0" xfId="0" applyFont="1" applyFill="1" applyBorder="1" applyAlignment="1" applyProtection="1">
      <alignment/>
      <protection locked="0"/>
    </xf>
    <xf numFmtId="0" fontId="14" fillId="33" borderId="0" xfId="0" applyFont="1" applyFill="1" applyAlignment="1" applyProtection="1">
      <alignment vertical="top"/>
      <protection locked="0"/>
    </xf>
    <xf numFmtId="0" fontId="0" fillId="33" borderId="0" xfId="0" applyFill="1" applyAlignment="1" applyProtection="1">
      <alignment/>
      <protection locked="0"/>
    </xf>
    <xf numFmtId="0" fontId="14" fillId="33" borderId="0" xfId="0" applyFont="1" applyFill="1" applyAlignment="1" applyProtection="1">
      <alignment/>
      <protection locked="0"/>
    </xf>
    <xf numFmtId="0" fontId="14" fillId="35" borderId="0" xfId="0" applyFont="1" applyFill="1" applyAlignment="1" applyProtection="1">
      <alignment vertical="top"/>
      <protection locked="0"/>
    </xf>
    <xf numFmtId="0" fontId="0" fillId="0" borderId="25" xfId="0" applyFont="1" applyFill="1" applyBorder="1" applyAlignment="1" applyProtection="1">
      <alignment/>
      <protection hidden="1"/>
    </xf>
    <xf numFmtId="10" fontId="0" fillId="0" borderId="25" xfId="0" applyNumberFormat="1" applyFont="1" applyFill="1" applyBorder="1" applyAlignment="1" applyProtection="1">
      <alignment/>
      <protection hidden="1"/>
    </xf>
    <xf numFmtId="0" fontId="0" fillId="33" borderId="0" xfId="0" applyFill="1" applyAlignment="1" applyProtection="1">
      <alignment/>
      <protection hidden="1" locked="0"/>
    </xf>
    <xf numFmtId="0" fontId="10" fillId="33" borderId="0" xfId="56" applyFill="1" applyAlignment="1" applyProtection="1">
      <alignment/>
      <protection/>
    </xf>
    <xf numFmtId="0" fontId="10" fillId="33" borderId="0" xfId="56" applyFill="1" applyAlignment="1" applyProtection="1">
      <alignment/>
      <protection locked="0"/>
    </xf>
    <xf numFmtId="0" fontId="35" fillId="33" borderId="0" xfId="0" applyFont="1" applyFill="1" applyBorder="1" applyAlignment="1" applyProtection="1">
      <alignment horizontal="left"/>
      <protection/>
    </xf>
    <xf numFmtId="0" fontId="92" fillId="33" borderId="0" xfId="0" applyFont="1" applyFill="1" applyAlignment="1" applyProtection="1">
      <alignment/>
      <protection/>
    </xf>
    <xf numFmtId="0" fontId="30" fillId="36" borderId="0" xfId="0" applyFont="1" applyFill="1" applyAlignment="1" applyProtection="1">
      <alignment/>
      <protection/>
    </xf>
    <xf numFmtId="0" fontId="31" fillId="33" borderId="0" xfId="0" applyFont="1" applyFill="1" applyBorder="1" applyAlignment="1" applyProtection="1">
      <alignment/>
      <protection/>
    </xf>
    <xf numFmtId="0" fontId="37" fillId="33" borderId="0" xfId="0" applyFont="1" applyFill="1" applyBorder="1" applyAlignment="1" applyProtection="1">
      <alignment horizontal="left"/>
      <protection/>
    </xf>
    <xf numFmtId="0" fontId="0" fillId="33" borderId="0" xfId="0" applyFill="1" applyBorder="1" applyAlignment="1" applyProtection="1">
      <alignment/>
      <protection/>
    </xf>
    <xf numFmtId="0" fontId="38" fillId="33" borderId="14" xfId="0" applyFont="1" applyFill="1" applyBorder="1" applyAlignment="1" applyProtection="1">
      <alignment horizontal="left"/>
      <protection/>
    </xf>
    <xf numFmtId="0" fontId="39" fillId="33" borderId="0" xfId="0" applyFont="1" applyFill="1" applyBorder="1" applyAlignment="1" applyProtection="1">
      <alignment/>
      <protection/>
    </xf>
    <xf numFmtId="0" fontId="40" fillId="33" borderId="13" xfId="0" applyFont="1" applyFill="1" applyBorder="1" applyAlignment="1" applyProtection="1">
      <alignment horizontal="left"/>
      <protection/>
    </xf>
    <xf numFmtId="0" fontId="39" fillId="33" borderId="10" xfId="0" applyFont="1" applyFill="1" applyBorder="1" applyAlignment="1" applyProtection="1">
      <alignment/>
      <protection/>
    </xf>
    <xf numFmtId="0" fontId="39" fillId="33" borderId="11" xfId="0" applyFont="1" applyFill="1" applyBorder="1" applyAlignment="1" applyProtection="1">
      <alignment/>
      <protection/>
    </xf>
    <xf numFmtId="0" fontId="14" fillId="0" borderId="0" xfId="0" applyFont="1" applyFill="1" applyAlignment="1" applyProtection="1">
      <alignment vertical="top"/>
      <protection locked="0"/>
    </xf>
    <xf numFmtId="0" fontId="30" fillId="36" borderId="0" xfId="0" applyFont="1" applyFill="1" applyBorder="1" applyAlignment="1" applyProtection="1">
      <alignment/>
      <protection/>
    </xf>
    <xf numFmtId="0" fontId="31" fillId="33" borderId="15" xfId="0" applyFont="1" applyFill="1" applyBorder="1" applyAlignment="1" applyProtection="1">
      <alignment/>
      <protection/>
    </xf>
    <xf numFmtId="0" fontId="31" fillId="33" borderId="26" xfId="0" applyFont="1" applyFill="1" applyBorder="1" applyAlignment="1" applyProtection="1">
      <alignment/>
      <protection/>
    </xf>
    <xf numFmtId="0" fontId="39" fillId="35" borderId="0" xfId="0" applyFont="1" applyFill="1" applyBorder="1" applyAlignment="1" applyProtection="1">
      <alignment/>
      <protection/>
    </xf>
    <xf numFmtId="0" fontId="29" fillId="33" borderId="23" xfId="0" applyFont="1" applyFill="1" applyBorder="1" applyAlignment="1" applyProtection="1">
      <alignment horizontal="center"/>
      <protection/>
    </xf>
    <xf numFmtId="0" fontId="29" fillId="33" borderId="12" xfId="0" applyFont="1" applyFill="1" applyBorder="1" applyAlignment="1" applyProtection="1">
      <alignment horizontal="center"/>
      <protection/>
    </xf>
    <xf numFmtId="0" fontId="29" fillId="33" borderId="24" xfId="0" applyFont="1" applyFill="1" applyBorder="1" applyAlignment="1" applyProtection="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5791200</xdr:colOff>
      <xdr:row>0</xdr:row>
      <xdr:rowOff>104775</xdr:rowOff>
    </xdr:from>
    <xdr:to>
      <xdr:col>2</xdr:col>
      <xdr:colOff>161925</xdr:colOff>
      <xdr:row>5</xdr:row>
      <xdr:rowOff>19050</xdr:rowOff>
    </xdr:to>
    <xdr:pic>
      <xdr:nvPicPr>
        <xdr:cNvPr id="1" name="Picture 2"/>
        <xdr:cNvPicPr preferRelativeResize="1">
          <a:picLocks noChangeAspect="1"/>
        </xdr:cNvPicPr>
      </xdr:nvPicPr>
      <xdr:blipFill>
        <a:blip r:embed="rId1"/>
        <a:stretch>
          <a:fillRect/>
        </a:stretch>
      </xdr:blipFill>
      <xdr:spPr>
        <a:xfrm>
          <a:off x="5791200" y="104775"/>
          <a:ext cx="25908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21</xdr:row>
      <xdr:rowOff>47625</xdr:rowOff>
    </xdr:from>
    <xdr:ext cx="1314450" cy="304800"/>
    <xdr:sp>
      <xdr:nvSpPr>
        <xdr:cNvPr id="1" name="TextBox 17"/>
        <xdr:cNvSpPr txBox="1">
          <a:spLocks noChangeArrowheads="1"/>
        </xdr:cNvSpPr>
      </xdr:nvSpPr>
      <xdr:spPr>
        <a:xfrm>
          <a:off x="314325" y="5657850"/>
          <a:ext cx="1314450" cy="304800"/>
        </a:xfrm>
        <a:prstGeom prst="rect">
          <a:avLst/>
        </a:prstGeom>
        <a:noFill/>
        <a:ln w="9525" cmpd="sng">
          <a:noFill/>
        </a:ln>
      </xdr:spPr>
      <xdr:txBody>
        <a:bodyPr vertOverflow="clip" wrap="square">
          <a:spAutoFit/>
        </a:bodyPr>
        <a:p>
          <a:pPr algn="l">
            <a:defRPr/>
          </a:pPr>
          <a:r>
            <a:rPr lang="en-US" cap="none" sz="1400" b="0" i="0" u="none" baseline="0">
              <a:solidFill>
                <a:srgbClr val="FF0000"/>
              </a:solidFill>
              <a:latin typeface="Arial"/>
              <a:ea typeface="Arial"/>
              <a:cs typeface="Arial"/>
            </a:rPr>
            <a:t>Buyer</a:t>
          </a:r>
          <a:r>
            <a:rPr lang="en-US" cap="none" sz="1400" b="0" i="0" u="none" baseline="0">
              <a:solidFill>
                <a:srgbClr val="FF0000"/>
              </a:solidFill>
              <a:latin typeface="Arial"/>
              <a:ea typeface="Arial"/>
              <a:cs typeface="Arial"/>
            </a:rPr>
            <a:t> Pays for</a:t>
          </a:r>
          <a:r>
            <a:rPr lang="en-US" cap="none" sz="1400" b="0" i="0" u="none" baseline="0">
              <a:solidFill>
                <a:srgbClr val="000000"/>
              </a:solidFill>
              <a:latin typeface="Arial"/>
              <a:ea typeface="Arial"/>
              <a:cs typeface="Arial"/>
            </a:rPr>
            <a:t>:</a:t>
          </a:r>
        </a:p>
      </xdr:txBody>
    </xdr:sp>
    <xdr:clientData/>
  </xdr:oneCellAnchor>
  <xdr:oneCellAnchor>
    <xdr:from>
      <xdr:col>1</xdr:col>
      <xdr:colOff>247650</xdr:colOff>
      <xdr:row>20</xdr:row>
      <xdr:rowOff>142875</xdr:rowOff>
    </xdr:from>
    <xdr:ext cx="7620000" cy="752475"/>
    <xdr:sp>
      <xdr:nvSpPr>
        <xdr:cNvPr id="2" name="TextBox 1"/>
        <xdr:cNvSpPr txBox="1">
          <a:spLocks noChangeArrowheads="1"/>
        </xdr:cNvSpPr>
      </xdr:nvSpPr>
      <xdr:spPr>
        <a:xfrm>
          <a:off x="5324475" y="5495925"/>
          <a:ext cx="7620000" cy="75247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Boxes should be checked if the buyer harvests themselves, or pays for custom operator to harvest for them.  If the seller is doing any of the silage harvest processes or using their silage storage and needs to build that cost into the per ton price of the silage, boxes should be unchecked for those contributions.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542925</xdr:colOff>
      <xdr:row>4</xdr:row>
      <xdr:rowOff>114300</xdr:rowOff>
    </xdr:to>
    <xdr:pic>
      <xdr:nvPicPr>
        <xdr:cNvPr id="1" name="Picture 2"/>
        <xdr:cNvPicPr preferRelativeResize="1">
          <a:picLocks noChangeAspect="1"/>
        </xdr:cNvPicPr>
      </xdr:nvPicPr>
      <xdr:blipFill>
        <a:blip r:embed="rId1"/>
        <a:stretch>
          <a:fillRect/>
        </a:stretch>
      </xdr:blipFill>
      <xdr:spPr>
        <a:xfrm>
          <a:off x="0" y="9525"/>
          <a:ext cx="21812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ass.usda.gov/Statistics_by_State/Wisconsin/Publications/WI-CRate17.pdf" TargetMode="External" /><Relationship Id="rId2" Type="http://schemas.openxmlformats.org/officeDocument/2006/relationships/hyperlink" Target="http://learningstore.uwex.edu/assets/pdfs/A2809.pdf"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H36"/>
  <sheetViews>
    <sheetView tabSelected="1" zoomScalePageLayoutView="0" workbookViewId="0" topLeftCell="A1">
      <selection activeCell="A25" sqref="A25"/>
    </sheetView>
  </sheetViews>
  <sheetFormatPr defaultColWidth="9.140625" defaultRowHeight="12.75"/>
  <cols>
    <col min="1" max="1" width="100.28125" style="16" customWidth="1"/>
    <col min="2" max="2" width="23.00390625" style="16" customWidth="1"/>
    <col min="3" max="3" width="3.421875" style="16" customWidth="1"/>
    <col min="4" max="16384" width="9.140625" style="16" customWidth="1"/>
  </cols>
  <sheetData>
    <row r="1" spans="1:8" ht="20.25" customHeight="1">
      <c r="A1" s="126" t="s">
        <v>5</v>
      </c>
      <c r="B1" s="127"/>
      <c r="C1" s="128"/>
      <c r="D1" s="97"/>
      <c r="E1" s="97"/>
      <c r="F1" s="97"/>
      <c r="G1" s="97"/>
      <c r="H1" s="97"/>
    </row>
    <row r="2" spans="1:8" ht="12.75">
      <c r="A2" s="129" t="s">
        <v>92</v>
      </c>
      <c r="B2" s="130"/>
      <c r="C2" s="131"/>
      <c r="D2" s="97"/>
      <c r="E2" s="97"/>
      <c r="F2" s="97"/>
      <c r="G2" s="97"/>
      <c r="H2" s="97"/>
    </row>
    <row r="3" spans="1:8" ht="12.75">
      <c r="A3" s="129"/>
      <c r="B3" s="130"/>
      <c r="C3" s="131"/>
      <c r="D3" s="97"/>
      <c r="E3" s="97"/>
      <c r="F3" s="97"/>
      <c r="G3" s="97"/>
      <c r="H3" s="97"/>
    </row>
    <row r="4" spans="1:8" ht="15.75">
      <c r="A4" s="132" t="s">
        <v>35</v>
      </c>
      <c r="B4" s="130"/>
      <c r="C4" s="131"/>
      <c r="D4" s="97"/>
      <c r="E4" s="97"/>
      <c r="F4" s="97"/>
      <c r="G4" s="97"/>
      <c r="H4" s="97"/>
    </row>
    <row r="5" spans="1:8" ht="15.75">
      <c r="A5" s="133" t="s">
        <v>109</v>
      </c>
      <c r="B5" s="130"/>
      <c r="C5" s="131"/>
      <c r="D5" s="97"/>
      <c r="E5" s="97"/>
      <c r="F5" s="97"/>
      <c r="G5" s="97"/>
      <c r="H5" s="97"/>
    </row>
    <row r="6" spans="1:8" ht="15.75">
      <c r="A6" s="133" t="s">
        <v>110</v>
      </c>
      <c r="B6" s="130"/>
      <c r="C6" s="131"/>
      <c r="D6" s="97"/>
      <c r="E6" s="97"/>
      <c r="F6" s="97"/>
      <c r="G6" s="97"/>
      <c r="H6" s="97"/>
    </row>
    <row r="7" spans="1:8" ht="15">
      <c r="A7" s="134" t="s">
        <v>36</v>
      </c>
      <c r="B7" s="130"/>
      <c r="C7" s="131"/>
      <c r="D7" s="97"/>
      <c r="E7" s="97"/>
      <c r="F7" s="97"/>
      <c r="G7" s="97"/>
      <c r="H7" s="97"/>
    </row>
    <row r="8" spans="1:8" ht="15">
      <c r="A8" s="134"/>
      <c r="B8" s="130"/>
      <c r="C8" s="131"/>
      <c r="D8" s="97"/>
      <c r="E8" s="97"/>
      <c r="F8" s="97"/>
      <c r="G8" s="97"/>
      <c r="H8" s="97"/>
    </row>
    <row r="9" spans="1:8" ht="15">
      <c r="A9" s="134" t="s">
        <v>38</v>
      </c>
      <c r="B9" s="130"/>
      <c r="C9" s="131"/>
      <c r="D9" s="97"/>
      <c r="E9" s="130"/>
      <c r="F9" s="97"/>
      <c r="G9" s="97"/>
      <c r="H9" s="97"/>
    </row>
    <row r="10" spans="1:8" ht="15">
      <c r="A10" s="134" t="s">
        <v>37</v>
      </c>
      <c r="B10" s="130"/>
      <c r="C10" s="131"/>
      <c r="D10" s="97"/>
      <c r="E10" s="130"/>
      <c r="F10" s="97"/>
      <c r="G10" s="97"/>
      <c r="H10" s="97"/>
    </row>
    <row r="11" spans="1:8" ht="15">
      <c r="A11" s="134"/>
      <c r="B11" s="130"/>
      <c r="C11" s="131"/>
      <c r="D11" s="97"/>
      <c r="E11" s="130"/>
      <c r="F11" s="97"/>
      <c r="G11" s="97"/>
      <c r="H11" s="97"/>
    </row>
    <row r="12" spans="1:8" ht="15">
      <c r="A12" s="134" t="s">
        <v>111</v>
      </c>
      <c r="B12" s="130"/>
      <c r="C12" s="131"/>
      <c r="D12" s="97"/>
      <c r="E12" s="130"/>
      <c r="F12" s="97"/>
      <c r="G12" s="97"/>
      <c r="H12" s="97"/>
    </row>
    <row r="13" spans="1:8" ht="15">
      <c r="A13" s="135" t="s">
        <v>112</v>
      </c>
      <c r="B13" s="130"/>
      <c r="C13" s="131"/>
      <c r="D13" s="97"/>
      <c r="E13" s="130"/>
      <c r="F13" s="97"/>
      <c r="G13" s="97"/>
      <c r="H13" s="97"/>
    </row>
    <row r="14" spans="1:8" ht="15">
      <c r="A14" s="135"/>
      <c r="B14" s="130"/>
      <c r="C14" s="131"/>
      <c r="D14" s="97"/>
      <c r="E14" s="130"/>
      <c r="F14" s="97"/>
      <c r="G14" s="97"/>
      <c r="H14" s="97"/>
    </row>
    <row r="15" spans="1:8" ht="14.25">
      <c r="A15" s="136" t="s">
        <v>90</v>
      </c>
      <c r="B15" s="130"/>
      <c r="C15" s="131"/>
      <c r="D15" s="97"/>
      <c r="E15" s="130"/>
      <c r="F15" s="97"/>
      <c r="G15" s="97"/>
      <c r="H15" s="97"/>
    </row>
    <row r="16" spans="1:8" ht="13.5">
      <c r="A16" s="137" t="s">
        <v>91</v>
      </c>
      <c r="B16" s="138"/>
      <c r="C16" s="139"/>
      <c r="D16" s="97"/>
      <c r="E16" s="130"/>
      <c r="F16" s="97"/>
      <c r="G16" s="97"/>
      <c r="H16" s="97"/>
    </row>
    <row r="17" spans="1:8" ht="12.75">
      <c r="A17" s="140"/>
      <c r="B17" s="130"/>
      <c r="C17" s="130"/>
      <c r="D17" s="97"/>
      <c r="E17" s="130"/>
      <c r="F17" s="97"/>
      <c r="G17" s="97"/>
      <c r="H17" s="97"/>
    </row>
    <row r="18" spans="1:8" ht="17.25">
      <c r="A18" s="141" t="s">
        <v>44</v>
      </c>
      <c r="B18" s="130"/>
      <c r="C18" s="130"/>
      <c r="D18" s="97"/>
      <c r="E18" s="130"/>
      <c r="F18" s="97"/>
      <c r="G18" s="97"/>
      <c r="H18" s="97"/>
    </row>
    <row r="19" spans="1:8" ht="17.25">
      <c r="A19" s="142"/>
      <c r="B19" s="130"/>
      <c r="C19" s="130"/>
      <c r="D19" s="97"/>
      <c r="E19" s="130"/>
      <c r="F19" s="97"/>
      <c r="G19" s="97"/>
      <c r="H19" s="97"/>
    </row>
    <row r="20" spans="1:8" ht="17.25">
      <c r="A20" s="141" t="s">
        <v>25</v>
      </c>
      <c r="B20" s="130"/>
      <c r="C20" s="130"/>
      <c r="D20" s="97"/>
      <c r="E20" s="130"/>
      <c r="F20" s="97"/>
      <c r="G20" s="97"/>
      <c r="H20" s="97"/>
    </row>
    <row r="21" spans="1:8" ht="17.25">
      <c r="A21" s="141"/>
      <c r="B21" s="130"/>
      <c r="C21" s="130"/>
      <c r="D21" s="97"/>
      <c r="E21" s="130"/>
      <c r="F21" s="97"/>
      <c r="G21" s="97"/>
      <c r="H21" s="97"/>
    </row>
    <row r="22" spans="1:8" ht="17.25">
      <c r="A22" s="141" t="s">
        <v>28</v>
      </c>
      <c r="B22" s="143"/>
      <c r="C22" s="130"/>
      <c r="D22" s="97"/>
      <c r="E22" s="97"/>
      <c r="F22" s="97"/>
      <c r="G22" s="97"/>
      <c r="H22" s="97"/>
    </row>
    <row r="23" spans="1:8" ht="17.25">
      <c r="A23" s="141" t="s">
        <v>26</v>
      </c>
      <c r="B23" s="143"/>
      <c r="C23" s="130"/>
      <c r="D23" s="97"/>
      <c r="E23" s="97"/>
      <c r="F23" s="97"/>
      <c r="G23" s="97"/>
      <c r="H23" s="97"/>
    </row>
    <row r="24" spans="1:8" ht="17.25">
      <c r="A24" s="141" t="s">
        <v>27</v>
      </c>
      <c r="B24" s="143"/>
      <c r="C24" s="130"/>
      <c r="D24" s="97"/>
      <c r="E24" s="97"/>
      <c r="F24" s="97"/>
      <c r="G24" s="97"/>
      <c r="H24" s="97"/>
    </row>
    <row r="25" spans="1:8" ht="17.25">
      <c r="A25" s="141"/>
      <c r="B25" s="143"/>
      <c r="C25" s="130"/>
      <c r="D25" s="97"/>
      <c r="E25" s="97"/>
      <c r="F25" s="97"/>
      <c r="G25" s="97"/>
      <c r="H25" s="97"/>
    </row>
    <row r="26" spans="1:8" ht="17.25">
      <c r="A26" s="141" t="s">
        <v>31</v>
      </c>
      <c r="B26" s="143"/>
      <c r="C26" s="130"/>
      <c r="D26" s="97"/>
      <c r="E26" s="97"/>
      <c r="F26" s="97"/>
      <c r="G26" s="97"/>
      <c r="H26" s="97"/>
    </row>
    <row r="27" spans="1:8" ht="17.25">
      <c r="A27" s="141" t="s">
        <v>29</v>
      </c>
      <c r="B27" s="143"/>
      <c r="C27" s="130"/>
      <c r="D27" s="97"/>
      <c r="E27" s="97"/>
      <c r="F27" s="97"/>
      <c r="G27" s="97"/>
      <c r="H27" s="97"/>
    </row>
    <row r="28" spans="1:8" ht="17.25">
      <c r="A28" s="141" t="s">
        <v>30</v>
      </c>
      <c r="B28" s="143"/>
      <c r="C28" s="130"/>
      <c r="D28" s="97"/>
      <c r="E28" s="97"/>
      <c r="F28" s="97"/>
      <c r="G28" s="97"/>
      <c r="H28" s="97"/>
    </row>
    <row r="29" spans="1:8" ht="17.25">
      <c r="A29" s="141"/>
      <c r="B29" s="143"/>
      <c r="C29" s="130"/>
      <c r="D29" s="97"/>
      <c r="E29" s="97"/>
      <c r="F29" s="97"/>
      <c r="G29" s="97"/>
      <c r="H29" s="97"/>
    </row>
    <row r="30" spans="1:8" ht="17.25">
      <c r="A30" s="141" t="s">
        <v>34</v>
      </c>
      <c r="B30" s="130"/>
      <c r="C30" s="97"/>
      <c r="D30" s="97"/>
      <c r="E30" s="97"/>
      <c r="F30" s="97"/>
      <c r="G30" s="97"/>
      <c r="H30" s="97"/>
    </row>
    <row r="31" spans="1:8" ht="17.25">
      <c r="A31" s="141" t="s">
        <v>32</v>
      </c>
      <c r="B31" s="130"/>
      <c r="C31" s="97"/>
      <c r="D31" s="97"/>
      <c r="E31" s="97"/>
      <c r="F31" s="97"/>
      <c r="G31" s="97"/>
      <c r="H31" s="97"/>
    </row>
    <row r="32" spans="1:8" ht="17.25">
      <c r="A32" s="141" t="s">
        <v>33</v>
      </c>
      <c r="B32" s="130"/>
      <c r="C32" s="97"/>
      <c r="D32" s="97"/>
      <c r="E32" s="97"/>
      <c r="F32" s="97"/>
      <c r="G32" s="97"/>
      <c r="H32" s="97"/>
    </row>
    <row r="33" spans="1:8" ht="15">
      <c r="A33" s="144"/>
      <c r="B33" s="130"/>
      <c r="C33" s="97"/>
      <c r="D33" s="145"/>
      <c r="E33" s="97"/>
      <c r="F33" s="97"/>
      <c r="G33" s="97"/>
      <c r="H33" s="97"/>
    </row>
    <row r="34" spans="1:4" ht="13.5">
      <c r="A34" s="18"/>
      <c r="C34" s="17"/>
      <c r="D34" s="19"/>
    </row>
    <row r="35" spans="3:4" ht="12.75">
      <c r="C35" s="19"/>
      <c r="D35" s="20"/>
    </row>
    <row r="36" spans="3:4" ht="12.75">
      <c r="C36" s="20"/>
      <c r="D36" s="21"/>
    </row>
  </sheetData>
  <sheetProtection password="C811" sheet="1"/>
  <printOptions/>
  <pageMargins left="0.75" right="0.75" top="1" bottom="1" header="0.5" footer="0.5"/>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sheetPr codeName="Sheet4"/>
  <dimension ref="A1:P1097"/>
  <sheetViews>
    <sheetView zoomScalePageLayoutView="0" workbookViewId="0" topLeftCell="A1">
      <selection activeCell="A1" sqref="A1"/>
    </sheetView>
  </sheetViews>
  <sheetFormatPr defaultColWidth="9.140625" defaultRowHeight="12.75"/>
  <cols>
    <col min="1" max="1" width="76.140625" style="2" customWidth="1"/>
    <col min="2" max="2" width="14.00390625" style="2" customWidth="1"/>
    <col min="3" max="3" width="16.421875" style="2" customWidth="1"/>
    <col min="4" max="4" width="16.28125" style="2" customWidth="1"/>
    <col min="5" max="5" width="10.8515625" style="2" customWidth="1"/>
    <col min="6" max="6" width="40.8515625" style="2" customWidth="1"/>
    <col min="7" max="7" width="15.8515625" style="2" customWidth="1"/>
    <col min="8" max="8" width="14.57421875" style="2" customWidth="1"/>
    <col min="9" max="9" width="15.57421875" style="2" customWidth="1"/>
    <col min="10" max="10" width="13.57421875" style="2" customWidth="1"/>
    <col min="11" max="11" width="35.421875" style="2" customWidth="1"/>
    <col min="12" max="12" width="7.8515625" style="2" customWidth="1"/>
    <col min="13" max="13" width="8.28125" style="2" customWidth="1"/>
    <col min="14" max="16384" width="9.140625" style="2" customWidth="1"/>
  </cols>
  <sheetData>
    <row r="1" spans="1:10" ht="26.25">
      <c r="A1" s="162" t="s">
        <v>108</v>
      </c>
      <c r="B1" s="163"/>
      <c r="C1" s="171" t="s">
        <v>113</v>
      </c>
      <c r="D1" s="169"/>
      <c r="E1" s="26"/>
      <c r="F1" s="26"/>
      <c r="G1" s="26"/>
      <c r="H1" s="26"/>
      <c r="I1" s="26"/>
      <c r="J1" s="26"/>
    </row>
    <row r="2" spans="1:10" ht="26.25">
      <c r="A2" s="164" t="s">
        <v>114</v>
      </c>
      <c r="B2" s="165"/>
      <c r="C2" s="166"/>
      <c r="D2" s="170"/>
      <c r="E2" s="26"/>
      <c r="F2" s="26"/>
      <c r="G2" s="26"/>
      <c r="H2" s="26"/>
      <c r="I2" s="29" t="s">
        <v>52</v>
      </c>
      <c r="J2" s="30" t="s">
        <v>53</v>
      </c>
    </row>
    <row r="3" spans="1:10" ht="21" thickBot="1">
      <c r="A3" s="161"/>
      <c r="B3" s="161"/>
      <c r="C3" s="161"/>
      <c r="D3" s="161"/>
      <c r="E3" s="26"/>
      <c r="F3" s="33" t="s">
        <v>69</v>
      </c>
      <c r="G3" s="26"/>
      <c r="H3" s="26"/>
      <c r="I3" s="29" t="s">
        <v>54</v>
      </c>
      <c r="J3" s="29" t="s">
        <v>54</v>
      </c>
    </row>
    <row r="4" spans="1:10" ht="24" thickBot="1">
      <c r="A4" s="160"/>
      <c r="B4" s="159"/>
      <c r="C4" s="159"/>
      <c r="D4" s="159"/>
      <c r="E4" s="26"/>
      <c r="F4" s="33" t="s">
        <v>80</v>
      </c>
      <c r="G4" s="26"/>
      <c r="H4" s="26"/>
      <c r="I4" s="124">
        <v>0.35</v>
      </c>
      <c r="J4" s="124">
        <v>0.35</v>
      </c>
    </row>
    <row r="5" spans="1:10" ht="20.25">
      <c r="A5" s="34"/>
      <c r="B5" s="27"/>
      <c r="C5" s="27"/>
      <c r="D5" s="26"/>
      <c r="E5" s="26"/>
      <c r="F5" s="158" t="s">
        <v>57</v>
      </c>
      <c r="G5" s="154" t="s">
        <v>107</v>
      </c>
      <c r="H5" s="26"/>
      <c r="I5" s="26"/>
      <c r="J5" s="26"/>
    </row>
    <row r="6" spans="1:10" ht="20.25">
      <c r="A6" s="33" t="s">
        <v>39</v>
      </c>
      <c r="B6" s="26"/>
      <c r="C6" s="35"/>
      <c r="D6" s="35"/>
      <c r="E6" s="26"/>
      <c r="F6" s="26"/>
      <c r="G6" s="35" t="s">
        <v>62</v>
      </c>
      <c r="H6" s="35" t="s">
        <v>63</v>
      </c>
      <c r="I6" s="26"/>
      <c r="J6" s="26"/>
    </row>
    <row r="7" spans="1:16" ht="20.25">
      <c r="A7" s="26" t="s">
        <v>42</v>
      </c>
      <c r="B7" s="26"/>
      <c r="C7" s="26"/>
      <c r="D7" s="36">
        <v>150</v>
      </c>
      <c r="E7" s="26"/>
      <c r="F7" s="37" t="s">
        <v>55</v>
      </c>
      <c r="G7" s="38">
        <f>D7</f>
        <v>150</v>
      </c>
      <c r="H7" s="39">
        <f>E10</f>
        <v>19.96762418394761</v>
      </c>
      <c r="I7" s="26"/>
      <c r="J7" s="40"/>
      <c r="L7" s="1"/>
      <c r="M7" s="1"/>
      <c r="N7" s="1"/>
      <c r="O7" s="1"/>
      <c r="P7" s="1"/>
    </row>
    <row r="8" spans="1:16" ht="20.25">
      <c r="A8" s="26" t="s">
        <v>13</v>
      </c>
      <c r="B8" s="26"/>
      <c r="C8" s="41"/>
      <c r="D8" s="42">
        <v>0.35</v>
      </c>
      <c r="E8" s="43"/>
      <c r="F8" s="44" t="s">
        <v>64</v>
      </c>
      <c r="G8" s="45">
        <v>0.38</v>
      </c>
      <c r="H8" s="46">
        <v>3.6</v>
      </c>
      <c r="I8" s="27"/>
      <c r="J8" s="47"/>
      <c r="N8" s="1"/>
      <c r="O8" s="1"/>
      <c r="P8" s="1"/>
    </row>
    <row r="9" spans="2:16" ht="20.25">
      <c r="B9" s="26"/>
      <c r="C9" s="48" t="s">
        <v>40</v>
      </c>
      <c r="D9" s="49" t="s">
        <v>41</v>
      </c>
      <c r="E9" s="26"/>
      <c r="F9" s="44" t="s">
        <v>65</v>
      </c>
      <c r="G9" s="45">
        <v>0.29</v>
      </c>
      <c r="H9" s="46">
        <v>8.3</v>
      </c>
      <c r="I9" s="27"/>
      <c r="J9" s="47"/>
      <c r="N9" s="1"/>
      <c r="O9" s="1"/>
      <c r="P9" s="1"/>
    </row>
    <row r="10" spans="1:16" ht="20.25">
      <c r="A10" s="157" t="s">
        <v>95</v>
      </c>
      <c r="B10" s="26"/>
      <c r="C10" s="50">
        <f>F89</f>
        <v>19.96762418394761</v>
      </c>
      <c r="D10" s="51"/>
      <c r="E10" s="52">
        <f>IF(D10="",C10,D10)</f>
        <v>19.96762418394761</v>
      </c>
      <c r="F10" s="44" t="s">
        <v>66</v>
      </c>
      <c r="G10" s="45">
        <f>G7*G8*I4</f>
        <v>19.95</v>
      </c>
      <c r="H10" s="46">
        <f>H7*H8*I4</f>
        <v>25.159206471773988</v>
      </c>
      <c r="I10" s="27"/>
      <c r="J10" s="53"/>
      <c r="N10" s="1"/>
      <c r="O10" s="1"/>
      <c r="P10" s="1"/>
    </row>
    <row r="11" spans="1:15" ht="20.25">
      <c r="A11" s="156"/>
      <c r="B11" s="26"/>
      <c r="C11" s="50"/>
      <c r="D11" s="54"/>
      <c r="E11" s="55"/>
      <c r="F11" s="44" t="s">
        <v>67</v>
      </c>
      <c r="G11" s="45">
        <f>G7*G9*J4</f>
        <v>15.225</v>
      </c>
      <c r="H11" s="46">
        <f>H7*H9*J4</f>
        <v>58.0059482543678</v>
      </c>
      <c r="I11" s="27"/>
      <c r="J11" s="53"/>
      <c r="K11" s="1"/>
      <c r="L11" s="1"/>
      <c r="M11" s="1"/>
      <c r="N11" s="1"/>
      <c r="O11" s="1"/>
    </row>
    <row r="12" spans="1:15" ht="20.25">
      <c r="A12" s="33" t="s">
        <v>51</v>
      </c>
      <c r="B12" s="26"/>
      <c r="C12" s="26"/>
      <c r="D12" s="56" t="s">
        <v>1</v>
      </c>
      <c r="E12" s="56" t="s">
        <v>0</v>
      </c>
      <c r="F12" s="37" t="s">
        <v>68</v>
      </c>
      <c r="G12" s="45">
        <f>G11+G10</f>
        <v>35.175</v>
      </c>
      <c r="H12" s="46">
        <f>H11+H10</f>
        <v>83.1651547261418</v>
      </c>
      <c r="I12" s="26"/>
      <c r="J12" s="57"/>
      <c r="K12" s="1"/>
      <c r="L12" s="1"/>
      <c r="M12" s="1"/>
      <c r="N12" s="1"/>
      <c r="O12" s="1"/>
    </row>
    <row r="13" spans="1:15" ht="20.25">
      <c r="A13" s="26" t="s">
        <v>12</v>
      </c>
      <c r="B13" s="26"/>
      <c r="C13" s="26"/>
      <c r="D13" s="58">
        <v>3.05</v>
      </c>
      <c r="E13" s="58">
        <v>3.2</v>
      </c>
      <c r="F13" s="59" t="s">
        <v>56</v>
      </c>
      <c r="G13" s="35"/>
      <c r="H13" s="60">
        <f>H12-G12</f>
        <v>47.990154726141796</v>
      </c>
      <c r="I13" s="26"/>
      <c r="J13" s="26"/>
      <c r="K13" s="1"/>
      <c r="L13" s="1"/>
      <c r="M13" s="1"/>
      <c r="N13" s="1"/>
      <c r="O13" s="1"/>
    </row>
    <row r="14" spans="1:15" ht="20.25">
      <c r="A14" s="157" t="s">
        <v>94</v>
      </c>
      <c r="B14" s="26"/>
      <c r="C14" s="26"/>
      <c r="D14" s="58">
        <v>0</v>
      </c>
      <c r="E14" s="61"/>
      <c r="F14" s="26"/>
      <c r="G14" s="26"/>
      <c r="H14" s="26"/>
      <c r="I14" s="26"/>
      <c r="J14" s="26"/>
      <c r="K14" s="1"/>
      <c r="L14" s="1"/>
      <c r="M14" s="1"/>
      <c r="N14" s="1"/>
      <c r="O14" s="1"/>
    </row>
    <row r="15" spans="1:15" ht="20.25">
      <c r="A15" s="157" t="s">
        <v>96</v>
      </c>
      <c r="B15" s="26"/>
      <c r="C15" s="26"/>
      <c r="D15" s="62"/>
      <c r="E15" s="63">
        <v>85</v>
      </c>
      <c r="F15" s="26"/>
      <c r="G15" s="26"/>
      <c r="H15" s="26"/>
      <c r="I15" s="26"/>
      <c r="J15" s="64"/>
      <c r="K15" s="1"/>
      <c r="L15" s="1"/>
      <c r="M15" s="1"/>
      <c r="N15" s="3"/>
      <c r="O15" s="1"/>
    </row>
    <row r="16" spans="1:15" ht="20.25">
      <c r="A16" s="26" t="s">
        <v>97</v>
      </c>
      <c r="B16" s="26"/>
      <c r="C16" s="26"/>
      <c r="D16" s="62"/>
      <c r="E16" s="65">
        <f>D7*0.09</f>
        <v>13.5</v>
      </c>
      <c r="F16" s="26"/>
      <c r="G16" s="26"/>
      <c r="H16" s="26"/>
      <c r="I16" s="26"/>
      <c r="J16" s="66"/>
      <c r="K16" s="1"/>
      <c r="L16" s="1"/>
      <c r="M16" s="1"/>
      <c r="N16" s="3"/>
      <c r="O16" s="1"/>
    </row>
    <row r="17" spans="1:15" ht="20.25">
      <c r="A17" s="157" t="s">
        <v>98</v>
      </c>
      <c r="B17" s="26"/>
      <c r="C17" s="26"/>
      <c r="D17" s="62"/>
      <c r="E17" s="122"/>
      <c r="F17" s="67">
        <f>IF(E17="",E16,E17)</f>
        <v>13.5</v>
      </c>
      <c r="G17" s="65"/>
      <c r="H17" s="26"/>
      <c r="I17" s="26"/>
      <c r="J17" s="66"/>
      <c r="K17" s="1"/>
      <c r="L17" s="1"/>
      <c r="M17" s="1"/>
      <c r="N17" s="3"/>
      <c r="O17" s="1"/>
    </row>
    <row r="18" spans="1:10" ht="20.25">
      <c r="A18" s="68" t="s">
        <v>60</v>
      </c>
      <c r="B18" s="68"/>
      <c r="C18" s="68"/>
      <c r="D18" s="69">
        <f>(D7*D13)-(D7*D14)</f>
        <v>457.5</v>
      </c>
      <c r="E18" s="69">
        <f>((D7-F17)*E13)+E15*(((E10*D8/0.9)/2))</f>
        <v>766.8204552624675</v>
      </c>
      <c r="F18" s="26"/>
      <c r="G18" s="26"/>
      <c r="H18" s="26"/>
      <c r="I18" s="26"/>
      <c r="J18" s="26"/>
    </row>
    <row r="19" spans="1:10" ht="20.25">
      <c r="A19" s="146"/>
      <c r="B19" s="34"/>
      <c r="C19" s="34"/>
      <c r="D19" s="93"/>
      <c r="E19" s="93"/>
      <c r="F19" s="26"/>
      <c r="G19" s="26"/>
      <c r="H19" s="26"/>
      <c r="I19" s="26"/>
      <c r="J19" s="26"/>
    </row>
    <row r="20" spans="1:10" ht="20.25">
      <c r="A20" s="147" t="s">
        <v>100</v>
      </c>
      <c r="B20" s="34"/>
      <c r="C20" s="34"/>
      <c r="D20" s="93"/>
      <c r="E20" s="93"/>
      <c r="F20" s="26"/>
      <c r="G20" s="26"/>
      <c r="H20" s="26"/>
      <c r="I20" s="26"/>
      <c r="J20" s="26"/>
    </row>
    <row r="21" spans="1:10" ht="20.25">
      <c r="A21" s="154" t="s">
        <v>93</v>
      </c>
      <c r="B21" s="95"/>
      <c r="C21" s="26"/>
      <c r="D21" s="154"/>
      <c r="F21" s="26"/>
      <c r="G21" s="26"/>
      <c r="H21" s="26"/>
      <c r="I21" s="26"/>
      <c r="J21" s="26"/>
    </row>
    <row r="22" spans="1:10" ht="29.25" customHeight="1">
      <c r="A22" s="150"/>
      <c r="B22" s="168"/>
      <c r="C22" s="168"/>
      <c r="D22" s="168"/>
      <c r="E22" s="168"/>
      <c r="F22" s="168"/>
      <c r="G22" s="168"/>
      <c r="H22" s="95"/>
      <c r="I22" s="95"/>
      <c r="J22" s="26"/>
    </row>
    <row r="23" spans="1:10" ht="29.25" customHeight="1">
      <c r="A23" s="167"/>
      <c r="B23" s="168"/>
      <c r="C23" s="168"/>
      <c r="D23" s="168"/>
      <c r="E23" s="168"/>
      <c r="F23" s="168"/>
      <c r="G23" s="168"/>
      <c r="H23" s="95"/>
      <c r="I23" s="95"/>
      <c r="J23" s="26"/>
    </row>
    <row r="24" spans="1:10" ht="20.25">
      <c r="A24" s="125" t="s">
        <v>16</v>
      </c>
      <c r="B24" s="95"/>
      <c r="C24" s="123">
        <v>61</v>
      </c>
      <c r="D24" s="92"/>
      <c r="E24" s="92">
        <f>IF(B152=1,C24,"")</f>
      </c>
      <c r="F24" s="26"/>
      <c r="G24" s="26"/>
      <c r="H24" s="26"/>
      <c r="I24" s="26"/>
      <c r="J24" s="26"/>
    </row>
    <row r="25" spans="1:10" ht="20.25">
      <c r="A25" s="26" t="s">
        <v>17</v>
      </c>
      <c r="B25" s="27"/>
      <c r="C25" s="123">
        <v>15</v>
      </c>
      <c r="D25" s="92"/>
      <c r="E25" s="120">
        <f>IF(B153=1,C25,"")</f>
      </c>
      <c r="F25" s="26"/>
      <c r="G25" s="26"/>
      <c r="H25" s="26"/>
      <c r="I25" s="26"/>
      <c r="J25" s="26"/>
    </row>
    <row r="26" spans="1:10" ht="20.25">
      <c r="A26" s="79" t="s">
        <v>104</v>
      </c>
      <c r="B26" s="90" t="s">
        <v>43</v>
      </c>
      <c r="C26" s="26"/>
      <c r="D26" s="62">
        <f>(E18*C27)</f>
        <v>84.35025007887143</v>
      </c>
      <c r="E26" s="26" t="s">
        <v>74</v>
      </c>
      <c r="F26" s="26"/>
      <c r="G26" s="26"/>
      <c r="H26" s="26"/>
      <c r="I26" s="26"/>
      <c r="J26" s="26"/>
    </row>
    <row r="27" spans="1:10" ht="31.5" customHeight="1">
      <c r="A27" s="76">
        <f>(IF(B96=1,C69,IF(B96=2,C70,IF(B96=3,C71,IF(B96=4,C72,C73)))))/100</f>
        <v>0.11</v>
      </c>
      <c r="B27" s="77"/>
      <c r="C27" s="78">
        <f>IF(B27="",A27,B27)</f>
        <v>0.11</v>
      </c>
      <c r="D27" s="62"/>
      <c r="E27" s="26"/>
      <c r="F27" s="26"/>
      <c r="G27" s="26"/>
      <c r="H27" s="26"/>
      <c r="I27" s="26"/>
      <c r="J27" s="26"/>
    </row>
    <row r="28" spans="1:10" ht="20.25">
      <c r="A28" s="26"/>
      <c r="B28" s="27"/>
      <c r="C28" s="94"/>
      <c r="D28" s="92"/>
      <c r="E28" s="120"/>
      <c r="F28" s="26"/>
      <c r="G28" s="26"/>
      <c r="H28" s="26"/>
      <c r="I28" s="26"/>
      <c r="J28" s="26"/>
    </row>
    <row r="29" spans="1:15" ht="20.25">
      <c r="A29" s="70" t="s">
        <v>105</v>
      </c>
      <c r="B29" s="31"/>
      <c r="C29" s="71"/>
      <c r="D29" s="121"/>
      <c r="E29" s="72"/>
      <c r="F29" s="73" t="s">
        <v>58</v>
      </c>
      <c r="G29" s="31"/>
      <c r="H29" s="31"/>
      <c r="I29" s="31"/>
      <c r="J29" s="74"/>
      <c r="K29" s="1"/>
      <c r="L29" s="1"/>
      <c r="M29" s="1"/>
      <c r="N29" s="1"/>
      <c r="O29" s="1"/>
    </row>
    <row r="30" spans="1:15" ht="20.25">
      <c r="A30" s="26"/>
      <c r="B30" s="26"/>
      <c r="C30" s="26" t="s">
        <v>45</v>
      </c>
      <c r="D30" s="50" t="s">
        <v>46</v>
      </c>
      <c r="E30" s="54"/>
      <c r="F30" s="91" t="s">
        <v>99</v>
      </c>
      <c r="G30" s="26"/>
      <c r="H30" s="26"/>
      <c r="I30" s="125"/>
      <c r="J30" s="26"/>
      <c r="K30" s="1"/>
      <c r="L30" s="1"/>
      <c r="M30" s="1"/>
      <c r="N30" s="1"/>
      <c r="O30" s="1"/>
    </row>
    <row r="31" spans="1:14" ht="20.25">
      <c r="A31" s="26" t="s">
        <v>48</v>
      </c>
      <c r="B31" s="26"/>
      <c r="C31" s="62">
        <f>D31/D7</f>
        <v>0.20866666666666667</v>
      </c>
      <c r="D31" s="58">
        <v>31.3</v>
      </c>
      <c r="E31" s="26"/>
      <c r="F31" s="75" t="s">
        <v>16</v>
      </c>
      <c r="G31" s="26"/>
      <c r="H31" s="125"/>
      <c r="I31" s="61">
        <f>IF(C97=1,C24,"")</f>
        <v>61</v>
      </c>
      <c r="J31" s="26"/>
      <c r="K31" s="1"/>
      <c r="L31" s="1"/>
      <c r="M31" s="1"/>
      <c r="N31" s="1"/>
    </row>
    <row r="32" spans="1:14" ht="20.25">
      <c r="A32" s="26" t="s">
        <v>47</v>
      </c>
      <c r="B32" s="26"/>
      <c r="C32" s="58">
        <v>0.18</v>
      </c>
      <c r="D32" s="62">
        <f>C32*D7</f>
        <v>27</v>
      </c>
      <c r="E32" s="62"/>
      <c r="F32" s="75" t="s">
        <v>17</v>
      </c>
      <c r="G32" s="26"/>
      <c r="H32" s="125"/>
      <c r="I32" s="61">
        <f>IF(C98=1,C25,"")</f>
        <v>15</v>
      </c>
      <c r="J32" s="26"/>
      <c r="K32" s="1"/>
      <c r="L32" s="1"/>
      <c r="M32" s="1"/>
      <c r="N32" s="1"/>
    </row>
    <row r="33" spans="1:15" ht="20.25">
      <c r="A33" s="26" t="s">
        <v>49</v>
      </c>
      <c r="B33" s="26"/>
      <c r="C33" s="58">
        <v>0.25</v>
      </c>
      <c r="D33" s="62">
        <f>C33*D7</f>
        <v>37.5</v>
      </c>
      <c r="E33" s="62"/>
      <c r="F33" s="75" t="s">
        <v>102</v>
      </c>
      <c r="H33" s="148"/>
      <c r="I33" s="96">
        <f>IF(C99=1,D26,"")</f>
        <v>84.35025007887143</v>
      </c>
      <c r="K33" s="1"/>
      <c r="L33" s="1"/>
      <c r="M33" s="1"/>
      <c r="N33" s="1"/>
      <c r="O33" s="1"/>
    </row>
    <row r="34" spans="1:15" ht="18.75" customHeight="1">
      <c r="A34" s="26" t="s">
        <v>50</v>
      </c>
      <c r="B34" s="26"/>
      <c r="C34" s="26"/>
      <c r="D34" s="26"/>
      <c r="E34" s="62"/>
      <c r="H34" s="148"/>
      <c r="I34" s="25"/>
      <c r="K34" s="1"/>
      <c r="L34" s="1"/>
      <c r="M34" s="1"/>
      <c r="N34" s="1"/>
      <c r="O34" s="1"/>
    </row>
    <row r="35" spans="1:15" ht="20.25">
      <c r="A35" s="26" t="s">
        <v>3</v>
      </c>
      <c r="B35" s="26"/>
      <c r="C35" s="58">
        <v>0.03</v>
      </c>
      <c r="D35" s="62">
        <f>C35*C36*D7</f>
        <v>40.5</v>
      </c>
      <c r="E35" s="26" t="s">
        <v>59</v>
      </c>
      <c r="F35" s="84" t="s">
        <v>4</v>
      </c>
      <c r="G35" s="33"/>
      <c r="H35" s="149"/>
      <c r="I35" s="80">
        <f>SUM(I31:I33)</f>
        <v>160.35025007887143</v>
      </c>
      <c r="J35" s="26"/>
      <c r="K35" s="1"/>
      <c r="L35" s="1"/>
      <c r="M35" s="1"/>
      <c r="N35" s="1"/>
      <c r="O35" s="1"/>
    </row>
    <row r="36" spans="1:15" ht="20.25">
      <c r="A36" s="26" t="s">
        <v>2</v>
      </c>
      <c r="B36" s="26"/>
      <c r="C36" s="36">
        <v>9</v>
      </c>
      <c r="D36" s="26"/>
      <c r="E36" s="26"/>
      <c r="F36" s="75"/>
      <c r="G36" s="27"/>
      <c r="H36" s="27"/>
      <c r="I36" s="53"/>
      <c r="J36" s="26"/>
      <c r="K36" s="1"/>
      <c r="L36" s="1"/>
      <c r="M36" s="1"/>
      <c r="N36" s="1"/>
      <c r="O36" s="1"/>
    </row>
    <row r="37" spans="1:15" ht="20.25">
      <c r="A37" s="157" t="s">
        <v>103</v>
      </c>
      <c r="B37" s="81">
        <v>0.025</v>
      </c>
      <c r="C37" s="26"/>
      <c r="D37" s="62">
        <f>D18*B37</f>
        <v>11.4375</v>
      </c>
      <c r="E37" s="62"/>
      <c r="F37" s="75"/>
      <c r="G37" s="26"/>
      <c r="H37" s="26"/>
      <c r="I37" s="26"/>
      <c r="J37" s="26"/>
      <c r="K37" s="1"/>
      <c r="L37" s="1"/>
      <c r="M37" s="1"/>
      <c r="N37" s="1"/>
      <c r="O37" s="1"/>
    </row>
    <row r="38" spans="1:15" ht="20.25">
      <c r="A38" s="26" t="s">
        <v>82</v>
      </c>
      <c r="B38" s="118"/>
      <c r="C38" s="62"/>
      <c r="D38" s="62">
        <f>SUM(D31:D37)</f>
        <v>147.7375</v>
      </c>
      <c r="E38" s="62"/>
      <c r="F38" s="75"/>
      <c r="G38" s="26"/>
      <c r="H38" s="26"/>
      <c r="I38" s="26"/>
      <c r="J38" s="26"/>
      <c r="K38" s="1"/>
      <c r="L38" s="1"/>
      <c r="M38" s="1"/>
      <c r="N38" s="1"/>
      <c r="O38" s="1"/>
    </row>
    <row r="39" spans="1:15" ht="20.25">
      <c r="A39" s="26"/>
      <c r="B39" s="118"/>
      <c r="C39" s="62"/>
      <c r="D39" s="62"/>
      <c r="E39" s="62"/>
      <c r="F39" s="75"/>
      <c r="G39" s="26"/>
      <c r="H39" s="26"/>
      <c r="I39" s="26"/>
      <c r="J39" s="26"/>
      <c r="K39" s="1"/>
      <c r="L39" s="1"/>
      <c r="M39" s="1"/>
      <c r="N39" s="1"/>
      <c r="O39" s="1"/>
    </row>
    <row r="40" spans="1:15" ht="20.25">
      <c r="A40" s="91" t="s">
        <v>99</v>
      </c>
      <c r="B40" s="118"/>
      <c r="C40" s="96"/>
      <c r="D40" s="96"/>
      <c r="E40" s="96"/>
      <c r="F40" s="75"/>
      <c r="G40" s="26"/>
      <c r="H40" s="26"/>
      <c r="I40" s="26"/>
      <c r="J40" s="26"/>
      <c r="K40" s="1"/>
      <c r="L40" s="1"/>
      <c r="M40" s="1"/>
      <c r="N40" s="1"/>
      <c r="O40" s="1"/>
    </row>
    <row r="41" spans="1:15" ht="20.25">
      <c r="A41" s="75" t="s">
        <v>16</v>
      </c>
      <c r="B41" s="26"/>
      <c r="C41" s="64"/>
      <c r="D41" s="96">
        <f>IF(C97=0,C24,"")</f>
      </c>
      <c r="E41" s="96"/>
      <c r="F41" s="75"/>
      <c r="G41" s="26"/>
      <c r="H41" s="26"/>
      <c r="I41" s="26"/>
      <c r="J41" s="26"/>
      <c r="K41" s="1"/>
      <c r="L41" s="1"/>
      <c r="M41" s="1"/>
      <c r="N41" s="1"/>
      <c r="O41" s="1"/>
    </row>
    <row r="42" spans="1:15" ht="20.25">
      <c r="A42" s="75" t="s">
        <v>17</v>
      </c>
      <c r="B42" s="26"/>
      <c r="C42" s="64"/>
      <c r="D42" s="96">
        <f>IF(C98=0,C25,"")</f>
      </c>
      <c r="E42" s="96"/>
      <c r="F42" s="75"/>
      <c r="G42" s="26"/>
      <c r="H42" s="26"/>
      <c r="I42" s="26"/>
      <c r="J42" s="26"/>
      <c r="K42" s="1"/>
      <c r="L42" s="1"/>
      <c r="M42" s="1"/>
      <c r="N42" s="1"/>
      <c r="O42" s="1"/>
    </row>
    <row r="43" spans="1:15" ht="20.25">
      <c r="A43" s="84" t="s">
        <v>101</v>
      </c>
      <c r="C43" s="97"/>
      <c r="D43" s="96">
        <f>IF(C99=0,D26,"")</f>
      </c>
      <c r="E43" s="96"/>
      <c r="F43" s="75"/>
      <c r="G43" s="26"/>
      <c r="H43" s="26"/>
      <c r="I43" s="26"/>
      <c r="J43" s="26"/>
      <c r="K43" s="1"/>
      <c r="L43" s="1"/>
      <c r="M43" s="1"/>
      <c r="N43" s="1"/>
      <c r="O43" s="1"/>
    </row>
    <row r="44" spans="1:15" ht="20.25">
      <c r="A44" s="27" t="s">
        <v>83</v>
      </c>
      <c r="C44" s="97"/>
      <c r="D44" s="96">
        <f>SUM(D41:D43)</f>
        <v>0</v>
      </c>
      <c r="E44" s="96"/>
      <c r="F44" s="75"/>
      <c r="G44" s="26"/>
      <c r="H44" s="26"/>
      <c r="I44" s="26"/>
      <c r="J44" s="26"/>
      <c r="K44" s="1"/>
      <c r="L44" s="1"/>
      <c r="M44" s="1"/>
      <c r="N44" s="1"/>
      <c r="O44" s="1"/>
    </row>
    <row r="45" spans="1:15" ht="20.25">
      <c r="A45" s="27"/>
      <c r="C45" s="97"/>
      <c r="D45" s="96"/>
      <c r="E45" s="96"/>
      <c r="F45" s="27"/>
      <c r="G45" s="26"/>
      <c r="H45" s="26"/>
      <c r="I45" s="26"/>
      <c r="J45" s="26"/>
      <c r="K45" s="1"/>
      <c r="L45" s="1"/>
      <c r="M45" s="1"/>
      <c r="N45" s="1"/>
      <c r="O45" s="1"/>
    </row>
    <row r="46" spans="1:15" ht="20.25">
      <c r="A46" s="33" t="s">
        <v>89</v>
      </c>
      <c r="C46" s="96">
        <f>H13/D7</f>
        <v>0.3199343648409453</v>
      </c>
      <c r="D46" s="96">
        <f>H13</f>
        <v>47.990154726141796</v>
      </c>
      <c r="E46" s="96"/>
      <c r="F46" s="27"/>
      <c r="G46" s="26"/>
      <c r="H46" s="26"/>
      <c r="I46" s="26"/>
      <c r="J46" s="26"/>
      <c r="K46" s="1"/>
      <c r="L46" s="1"/>
      <c r="M46" s="1"/>
      <c r="N46" s="1"/>
      <c r="O46" s="1"/>
    </row>
    <row r="47" spans="1:15" ht="20.25">
      <c r="A47" s="33"/>
      <c r="B47" s="33"/>
      <c r="C47" s="33"/>
      <c r="D47" s="80"/>
      <c r="E47" s="62"/>
      <c r="F47" s="27"/>
      <c r="G47" s="26"/>
      <c r="H47" s="26"/>
      <c r="I47" s="26"/>
      <c r="J47" s="26"/>
      <c r="K47" s="1"/>
      <c r="L47" s="1"/>
      <c r="M47" s="1"/>
      <c r="N47" s="1"/>
      <c r="O47" s="1"/>
    </row>
    <row r="48" spans="1:15" ht="24.75">
      <c r="A48" s="172" t="s">
        <v>61</v>
      </c>
      <c r="B48" s="173"/>
      <c r="C48" s="173"/>
      <c r="D48" s="173"/>
      <c r="E48" s="173"/>
      <c r="F48" s="173"/>
      <c r="G48" s="173"/>
      <c r="H48" s="173"/>
      <c r="I48" s="174"/>
      <c r="J48" s="26"/>
      <c r="K48" s="1"/>
      <c r="L48" s="1"/>
      <c r="M48" s="1"/>
      <c r="N48" s="1"/>
      <c r="O48" s="1"/>
    </row>
    <row r="49" spans="1:15" ht="20.25">
      <c r="A49" s="73" t="s">
        <v>1</v>
      </c>
      <c r="B49" s="70"/>
      <c r="C49" s="70"/>
      <c r="D49" s="82"/>
      <c r="E49" s="83"/>
      <c r="F49" s="73" t="s">
        <v>0</v>
      </c>
      <c r="G49" s="31"/>
      <c r="H49" s="31"/>
      <c r="I49" s="32"/>
      <c r="J49" s="26"/>
      <c r="K49" s="1"/>
      <c r="L49" s="1"/>
      <c r="M49" s="1"/>
      <c r="N49" s="1"/>
      <c r="O49" s="1"/>
    </row>
    <row r="50" spans="1:15" ht="20.25">
      <c r="A50" s="84" t="s">
        <v>75</v>
      </c>
      <c r="B50" s="34"/>
      <c r="C50" s="34"/>
      <c r="D50" s="85">
        <f>D18-D38+D44+H13</f>
        <v>357.75265472614177</v>
      </c>
      <c r="E50" s="86"/>
      <c r="F50" s="84" t="s">
        <v>72</v>
      </c>
      <c r="G50" s="34"/>
      <c r="H50" s="34"/>
      <c r="I50" s="87">
        <f>E18-I35</f>
        <v>606.470205183596</v>
      </c>
      <c r="J50" s="26"/>
      <c r="K50" s="1"/>
      <c r="L50" s="1"/>
      <c r="M50" s="1"/>
      <c r="N50" s="1"/>
      <c r="O50" s="1"/>
    </row>
    <row r="51" spans="1:15" ht="20.25">
      <c r="A51" s="84" t="s">
        <v>81</v>
      </c>
      <c r="B51" s="34"/>
      <c r="C51" s="34"/>
      <c r="D51" s="34"/>
      <c r="E51" s="86"/>
      <c r="F51" s="84" t="s">
        <v>73</v>
      </c>
      <c r="G51" s="34"/>
      <c r="H51" s="34"/>
      <c r="I51" s="87"/>
      <c r="J51" s="26"/>
      <c r="K51" s="1"/>
      <c r="L51" s="1"/>
      <c r="M51" s="1"/>
      <c r="N51" s="1"/>
      <c r="O51" s="1"/>
    </row>
    <row r="52" spans="1:15" ht="20.25">
      <c r="A52" s="84" t="s">
        <v>70</v>
      </c>
      <c r="B52" s="34"/>
      <c r="C52" s="34"/>
      <c r="D52" s="85">
        <f>D50/E10</f>
        <v>17.91663602191324</v>
      </c>
      <c r="E52" s="86"/>
      <c r="F52" s="84" t="s">
        <v>14</v>
      </c>
      <c r="G52" s="34"/>
      <c r="H52" s="34"/>
      <c r="I52" s="87">
        <f>I50/E10</f>
        <v>30.372677269795076</v>
      </c>
      <c r="J52" s="26"/>
      <c r="K52" s="1"/>
      <c r="L52" s="1"/>
      <c r="M52" s="1"/>
      <c r="N52" s="1"/>
      <c r="O52" s="1"/>
    </row>
    <row r="53" spans="1:15" ht="20.25">
      <c r="A53" s="73" t="s">
        <v>71</v>
      </c>
      <c r="B53" s="70"/>
      <c r="C53" s="88"/>
      <c r="D53" s="119">
        <f>D52/D8</f>
        <v>51.19038863403784</v>
      </c>
      <c r="E53" s="72"/>
      <c r="F53" s="73" t="s">
        <v>15</v>
      </c>
      <c r="G53" s="70"/>
      <c r="H53" s="70"/>
      <c r="I53" s="89">
        <f>I52/D8</f>
        <v>86.77907791370022</v>
      </c>
      <c r="J53" s="26"/>
      <c r="K53" s="1"/>
      <c r="L53" s="1"/>
      <c r="M53" s="1"/>
      <c r="N53" s="1"/>
      <c r="O53" s="1"/>
    </row>
    <row r="54" spans="1:15" ht="20.25">
      <c r="A54" s="26"/>
      <c r="B54" s="26"/>
      <c r="C54" s="50"/>
      <c r="D54" s="54"/>
      <c r="E54" s="55"/>
      <c r="F54" s="27"/>
      <c r="G54" s="27"/>
      <c r="H54" s="27"/>
      <c r="I54" s="27"/>
      <c r="J54" s="26"/>
      <c r="K54" s="1"/>
      <c r="L54" s="1"/>
      <c r="M54" s="1"/>
      <c r="N54" s="1"/>
      <c r="O54" s="1"/>
    </row>
    <row r="55" spans="1:10" ht="20.25">
      <c r="A55" s="26"/>
      <c r="B55" s="26"/>
      <c r="C55" s="26"/>
      <c r="D55" s="26"/>
      <c r="E55" s="26"/>
      <c r="F55" s="26"/>
      <c r="G55" s="26"/>
      <c r="H55" s="26"/>
      <c r="I55" s="26"/>
      <c r="J55" s="26"/>
    </row>
    <row r="56" spans="1:5" ht="17.25">
      <c r="A56" s="8"/>
      <c r="B56" s="6"/>
      <c r="C56" s="6"/>
      <c r="D56" s="7"/>
      <c r="E56" s="7"/>
    </row>
    <row r="57" spans="1:5" ht="12.75">
      <c r="A57" s="5"/>
      <c r="B57" s="6"/>
      <c r="C57" s="6"/>
      <c r="D57" s="7"/>
      <c r="E57" s="7"/>
    </row>
    <row r="58" spans="1:5" ht="12.75">
      <c r="A58" s="5"/>
      <c r="B58" s="6"/>
      <c r="C58" s="6"/>
      <c r="D58" s="7"/>
      <c r="E58" s="7"/>
    </row>
    <row r="59" spans="1:5" ht="12.75">
      <c r="A59" s="5"/>
      <c r="D59" s="7"/>
      <c r="E59" s="7"/>
    </row>
    <row r="60" spans="1:5" ht="12.75">
      <c r="A60" s="9"/>
      <c r="D60" s="7"/>
      <c r="E60" s="7"/>
    </row>
    <row r="61" spans="1:5" ht="12.75">
      <c r="A61" s="22"/>
      <c r="B61" s="22"/>
      <c r="C61" s="22"/>
      <c r="D61" s="7"/>
      <c r="E61" s="7"/>
    </row>
    <row r="62" spans="4:5" ht="12.75">
      <c r="D62" s="7"/>
      <c r="E62" s="7"/>
    </row>
    <row r="63" spans="4:5" ht="12.75">
      <c r="D63" s="7"/>
      <c r="E63" s="7"/>
    </row>
    <row r="64" spans="4:5" ht="12.75">
      <c r="D64" s="7"/>
      <c r="E64" s="7"/>
    </row>
    <row r="65" spans="1:5" ht="12.75">
      <c r="A65" s="5"/>
      <c r="D65" s="7"/>
      <c r="E65" s="7"/>
    </row>
    <row r="66" spans="1:5" ht="12.75">
      <c r="A66" s="5"/>
      <c r="C66" s="155"/>
      <c r="D66" s="7"/>
      <c r="E66" s="7"/>
    </row>
    <row r="67" spans="1:5" ht="12.75">
      <c r="A67" s="4" t="s">
        <v>106</v>
      </c>
      <c r="D67" s="7"/>
      <c r="E67" s="7"/>
    </row>
    <row r="68" spans="1:5" ht="12.75">
      <c r="A68" s="22" t="s">
        <v>19</v>
      </c>
      <c r="B68" s="22"/>
      <c r="C68" s="22" t="s">
        <v>20</v>
      </c>
      <c r="D68" s="7"/>
      <c r="E68" s="7"/>
    </row>
    <row r="69" spans="1:5" ht="12.75">
      <c r="A69" s="2" t="s">
        <v>18</v>
      </c>
      <c r="C69" s="2">
        <v>13</v>
      </c>
      <c r="D69" s="7"/>
      <c r="E69" s="7"/>
    </row>
    <row r="70" spans="1:5" ht="12.75">
      <c r="A70" s="2" t="s">
        <v>21</v>
      </c>
      <c r="C70" s="2">
        <v>6</v>
      </c>
      <c r="D70" s="7"/>
      <c r="E70" s="7"/>
    </row>
    <row r="71" spans="1:5" ht="12.75">
      <c r="A71" s="2" t="s">
        <v>22</v>
      </c>
      <c r="C71" s="2">
        <v>16</v>
      </c>
      <c r="D71" s="7"/>
      <c r="E71" s="7"/>
    </row>
    <row r="72" spans="1:5" ht="12.75">
      <c r="A72" s="2" t="s">
        <v>23</v>
      </c>
      <c r="C72" s="2">
        <v>17.5</v>
      </c>
      <c r="D72" s="7"/>
      <c r="E72" s="7"/>
    </row>
    <row r="73" spans="1:5" ht="12.75">
      <c r="A73" s="2" t="s">
        <v>24</v>
      </c>
      <c r="C73" s="2">
        <v>11</v>
      </c>
      <c r="D73" s="7"/>
      <c r="E73" s="7"/>
    </row>
    <row r="74" spans="1:5" ht="12.75">
      <c r="A74" s="24"/>
      <c r="D74" s="7"/>
      <c r="E74" s="7"/>
    </row>
    <row r="75" spans="4:5" ht="12.75">
      <c r="D75" s="7"/>
      <c r="E75" s="7"/>
    </row>
    <row r="76" spans="1:5" ht="12.75">
      <c r="A76" s="4"/>
      <c r="D76" s="7"/>
      <c r="E76" s="7"/>
    </row>
    <row r="77" spans="1:5" ht="12.75">
      <c r="A77" s="4"/>
      <c r="D77" s="7"/>
      <c r="E77" s="7"/>
    </row>
    <row r="78" spans="1:7" ht="12.75">
      <c r="A78" s="4"/>
      <c r="D78" s="7"/>
      <c r="E78" s="7"/>
      <c r="F78" s="14"/>
      <c r="G78" s="14"/>
    </row>
    <row r="79" spans="1:7" ht="12.75">
      <c r="A79" s="24"/>
      <c r="D79" s="7"/>
      <c r="E79" s="7"/>
      <c r="F79" s="14"/>
      <c r="G79" s="14"/>
    </row>
    <row r="80" spans="1:5" ht="12.75">
      <c r="A80" s="13"/>
      <c r="B80" s="14"/>
      <c r="C80" s="14"/>
      <c r="D80" s="15"/>
      <c r="E80" s="15"/>
    </row>
    <row r="81" spans="1:5" ht="12.75" hidden="1">
      <c r="A81" s="13"/>
      <c r="B81" s="14"/>
      <c r="C81" s="14"/>
      <c r="D81" s="15"/>
      <c r="E81" s="15"/>
    </row>
    <row r="82" spans="1:5" ht="12.75" hidden="1">
      <c r="A82" s="13"/>
      <c r="D82" s="7"/>
      <c r="E82" s="7"/>
    </row>
    <row r="83" spans="1:6" ht="12.75" hidden="1">
      <c r="A83" s="10"/>
      <c r="B83" s="1"/>
      <c r="C83" s="1"/>
      <c r="D83" s="1"/>
      <c r="E83" s="1"/>
      <c r="F83" s="1"/>
    </row>
    <row r="84" spans="1:6" ht="12.75" hidden="1">
      <c r="A84" s="10"/>
      <c r="B84" s="151">
        <v>25.549</v>
      </c>
      <c r="C84" s="151">
        <f>-66.7+41.7*(B84)-1.53*(B84*B84)</f>
        <v>-0.016343530000085593</v>
      </c>
      <c r="D84" s="151"/>
      <c r="E84" s="151"/>
      <c r="F84" s="151"/>
    </row>
    <row r="85" spans="1:6" ht="12.75" hidden="1">
      <c r="A85" s="11"/>
      <c r="B85" s="151">
        <v>-66.7</v>
      </c>
      <c r="C85" s="151">
        <f>'Corn Silage Pricer'!$D$7</f>
        <v>150</v>
      </c>
      <c r="D85" s="151"/>
      <c r="E85" s="151"/>
      <c r="F85" s="151"/>
    </row>
    <row r="86" spans="1:6" ht="12.75" hidden="1">
      <c r="A86" s="23"/>
      <c r="B86" s="151">
        <f>B85-C85</f>
        <v>-216.7</v>
      </c>
      <c r="C86" s="151" t="s">
        <v>6</v>
      </c>
      <c r="D86" s="151"/>
      <c r="E86" s="151"/>
      <c r="F86" s="151"/>
    </row>
    <row r="87" spans="1:6" ht="12.75" hidden="1">
      <c r="A87" s="23"/>
      <c r="B87" s="151">
        <v>41.7</v>
      </c>
      <c r="C87" s="151" t="s">
        <v>7</v>
      </c>
      <c r="D87" s="151"/>
      <c r="E87" s="151"/>
      <c r="F87" s="151"/>
    </row>
    <row r="88" spans="1:6" ht="12.75" hidden="1">
      <c r="A88" s="10"/>
      <c r="B88" s="151">
        <v>-1.53</v>
      </c>
      <c r="C88" s="151" t="s">
        <v>8</v>
      </c>
      <c r="D88" s="151" t="s">
        <v>9</v>
      </c>
      <c r="E88" s="151" t="s">
        <v>11</v>
      </c>
      <c r="F88" s="151" t="s">
        <v>10</v>
      </c>
    </row>
    <row r="89" spans="1:6" ht="12.75" hidden="1">
      <c r="A89" s="23"/>
      <c r="B89" s="151"/>
      <c r="C89" s="151"/>
      <c r="D89" s="151">
        <f>(-B87+SQRT(POWER(41.7,2)-4*B88*B86))/(2*B88)</f>
        <v>6.9886684643816634</v>
      </c>
      <c r="E89" s="152">
        <f>'Corn Silage Pricer'!$D$8</f>
        <v>0.35</v>
      </c>
      <c r="F89" s="151">
        <f>D89/E89</f>
        <v>19.96762418394761</v>
      </c>
    </row>
    <row r="90" spans="1:6" ht="12.75" hidden="1">
      <c r="A90" s="23"/>
      <c r="B90" s="1"/>
      <c r="C90" s="1"/>
      <c r="D90" s="1"/>
      <c r="E90" s="1"/>
      <c r="F90" s="1"/>
    </row>
    <row r="91" spans="1:6" ht="12.75" hidden="1">
      <c r="A91" s="23"/>
      <c r="B91" s="1"/>
      <c r="C91" s="1"/>
      <c r="D91" s="1"/>
      <c r="E91" s="1"/>
      <c r="F91" s="1"/>
    </row>
    <row r="92" spans="2:6" ht="12.75" hidden="1">
      <c r="B92" s="1"/>
      <c r="C92" s="1"/>
      <c r="D92" s="1"/>
      <c r="E92" s="1"/>
      <c r="F92" s="1"/>
    </row>
    <row r="93" spans="1:6" ht="12.75" hidden="1">
      <c r="A93" s="23"/>
      <c r="B93" s="1"/>
      <c r="C93" s="1"/>
      <c r="D93" s="1"/>
      <c r="E93" s="1"/>
      <c r="F93" s="1"/>
    </row>
    <row r="94" spans="1:6" ht="12.75" hidden="1">
      <c r="A94" s="12"/>
      <c r="B94" s="1"/>
      <c r="C94" s="1"/>
      <c r="D94" s="1"/>
      <c r="E94" s="1"/>
      <c r="F94" s="1"/>
    </row>
    <row r="95" spans="1:6" ht="12.75" hidden="1">
      <c r="A95" s="12"/>
      <c r="B95" s="1"/>
      <c r="C95" s="1"/>
      <c r="D95" s="1"/>
      <c r="E95" s="1"/>
      <c r="F95" s="1"/>
    </row>
    <row r="96" spans="1:6" ht="12.75" hidden="1">
      <c r="A96" s="12"/>
      <c r="B96" s="153">
        <v>5</v>
      </c>
      <c r="C96" s="153"/>
      <c r="D96" s="1"/>
      <c r="E96" s="1"/>
      <c r="F96" s="1"/>
    </row>
    <row r="97" spans="1:6" ht="12.75" hidden="1">
      <c r="A97" s="12"/>
      <c r="B97" s="153" t="b">
        <v>1</v>
      </c>
      <c r="C97" s="153">
        <f>1*B97</f>
        <v>1</v>
      </c>
      <c r="D97" s="1"/>
      <c r="E97" s="1"/>
      <c r="F97" s="1"/>
    </row>
    <row r="98" spans="1:6" ht="12.75" hidden="1">
      <c r="A98" s="12"/>
      <c r="B98" s="153" t="b">
        <v>1</v>
      </c>
      <c r="C98" s="153">
        <f>1*B98</f>
        <v>1</v>
      </c>
      <c r="D98" s="1"/>
      <c r="E98" s="1"/>
      <c r="F98" s="1"/>
    </row>
    <row r="99" spans="1:6" ht="12.75" hidden="1">
      <c r="A99" s="12"/>
      <c r="B99" s="153" t="b">
        <v>1</v>
      </c>
      <c r="C99" s="153">
        <f>1*B99</f>
        <v>1</v>
      </c>
      <c r="D99" s="1"/>
      <c r="E99" s="1"/>
      <c r="F99" s="1"/>
    </row>
    <row r="100" spans="1:3" ht="12.75" hidden="1">
      <c r="A100" s="12"/>
      <c r="B100" s="148"/>
      <c r="C100" s="148"/>
    </row>
    <row r="101" ht="12.75" hidden="1"/>
    <row r="102" spans="1:5" ht="12.75" hidden="1">
      <c r="A102" s="25"/>
      <c r="B102" s="25"/>
      <c r="C102" s="25"/>
      <c r="D102" s="25"/>
      <c r="E102" s="25"/>
    </row>
    <row r="151" ht="12.75">
      <c r="A151" s="2" t="b">
        <v>1</v>
      </c>
    </row>
    <row r="152" ht="12.75">
      <c r="A152" s="2" t="b">
        <v>1</v>
      </c>
    </row>
    <row r="153" ht="12.75">
      <c r="A153" s="2" t="b">
        <v>1</v>
      </c>
    </row>
    <row r="1097" ht="12.75">
      <c r="B1097" s="2" t="b">
        <v>1</v>
      </c>
    </row>
  </sheetData>
  <sheetProtection password="C811" sheet="1"/>
  <mergeCells count="1">
    <mergeCell ref="A48:I48"/>
  </mergeCells>
  <hyperlinks>
    <hyperlink ref="A21" r:id="rId1" display="https://www.nass.usda.gov/Statistics_by_State/Wisconsin/Publications/WI-CRate17.pdf"/>
    <hyperlink ref="G5" r:id="rId2" display="http://learningstore.uwex.edu/assets/pdfs/A2809.pdf"/>
  </hyperlinks>
  <printOptions/>
  <pageMargins left="0.75" right="0.75" top="1" bottom="1" header="0.5" footer="0.5"/>
  <pageSetup horizontalDpi="600" verticalDpi="600" orientation="landscape" scale="55" r:id="rId6"/>
  <drawing r:id="rId5"/>
  <legacyDrawing r:id="rId4"/>
</worksheet>
</file>

<file path=xl/worksheets/sheet3.xml><?xml version="1.0" encoding="utf-8"?>
<worksheet xmlns="http://schemas.openxmlformats.org/spreadsheetml/2006/main" xmlns:r="http://schemas.openxmlformats.org/officeDocument/2006/relationships">
  <sheetPr codeName="Sheet5"/>
  <dimension ref="A6:G21"/>
  <sheetViews>
    <sheetView zoomScalePageLayoutView="0" workbookViewId="0" topLeftCell="A1">
      <selection activeCell="L30" sqref="L30"/>
    </sheetView>
  </sheetViews>
  <sheetFormatPr defaultColWidth="9.140625" defaultRowHeight="12.75"/>
  <cols>
    <col min="1" max="1" width="14.7109375" style="0" customWidth="1"/>
    <col min="2" max="7" width="9.8515625" style="0" bestFit="1" customWidth="1"/>
  </cols>
  <sheetData>
    <row r="6" spans="1:5" s="111" customFormat="1" ht="23.25">
      <c r="A6" s="110" t="s">
        <v>76</v>
      </c>
      <c r="B6" s="110"/>
      <c r="C6" s="110"/>
      <c r="D6" s="110"/>
      <c r="E6" s="110"/>
    </row>
    <row r="7" spans="1:5" s="111" customFormat="1" ht="23.25">
      <c r="A7" s="112" t="s">
        <v>84</v>
      </c>
      <c r="B7" s="110"/>
      <c r="C7" s="110"/>
      <c r="D7" s="110"/>
      <c r="E7" s="110"/>
    </row>
    <row r="8" spans="1:5" s="111" customFormat="1" ht="23.25">
      <c r="A8" s="113" t="s">
        <v>85</v>
      </c>
      <c r="B8" s="110"/>
      <c r="C8" s="110"/>
      <c r="D8" s="110"/>
      <c r="E8" s="110"/>
    </row>
    <row r="9" spans="1:5" s="111" customFormat="1" ht="23.25">
      <c r="A9" s="113" t="s">
        <v>86</v>
      </c>
      <c r="B9" s="110"/>
      <c r="C9" s="110"/>
      <c r="D9" s="110"/>
      <c r="E9" s="110"/>
    </row>
    <row r="10" spans="1:6" s="111" customFormat="1" ht="23.25">
      <c r="A10" s="113" t="s">
        <v>87</v>
      </c>
      <c r="B10" s="110"/>
      <c r="C10" s="110"/>
      <c r="D10" s="110"/>
      <c r="E10" s="110"/>
      <c r="F10" s="28" t="s">
        <v>88</v>
      </c>
    </row>
    <row r="11" spans="1:7" ht="17.25">
      <c r="A11" s="98"/>
      <c r="B11" s="98"/>
      <c r="C11" s="98"/>
      <c r="D11" s="98"/>
      <c r="E11" s="98"/>
      <c r="F11" s="98"/>
      <c r="G11" s="98"/>
    </row>
    <row r="12" spans="1:7" ht="17.25">
      <c r="A12" s="98" t="s">
        <v>77</v>
      </c>
      <c r="B12" s="98"/>
      <c r="C12" s="98"/>
      <c r="D12" s="98"/>
      <c r="E12" s="98"/>
      <c r="F12" s="98"/>
      <c r="G12" s="98"/>
    </row>
    <row r="13" spans="1:7" ht="17.25">
      <c r="A13" s="98"/>
      <c r="B13" s="99" t="s">
        <v>78</v>
      </c>
      <c r="C13" s="100"/>
      <c r="D13" s="100"/>
      <c r="E13" s="100"/>
      <c r="F13" s="100"/>
      <c r="G13" s="101"/>
    </row>
    <row r="14" spans="1:7" ht="17.25">
      <c r="A14" s="102" t="s">
        <v>79</v>
      </c>
      <c r="B14" s="103">
        <v>30</v>
      </c>
      <c r="C14" s="114">
        <f>B14+4</f>
        <v>34</v>
      </c>
      <c r="D14" s="114">
        <f>B14+8</f>
        <v>38</v>
      </c>
      <c r="E14" s="114">
        <f>B14+12</f>
        <v>42</v>
      </c>
      <c r="F14" s="114">
        <f>B14+16</f>
        <v>46</v>
      </c>
      <c r="G14" s="114">
        <f>B14+20</f>
        <v>50</v>
      </c>
    </row>
    <row r="15" spans="1:7" ht="17.25">
      <c r="A15" s="104">
        <v>0.71</v>
      </c>
      <c r="B15" s="105">
        <f aca="true" t="shared" si="0" ref="B15:G15">(B14/0.35)*0.29</f>
        <v>24.857142857142858</v>
      </c>
      <c r="C15" s="115">
        <f t="shared" si="0"/>
        <v>28.17142857142857</v>
      </c>
      <c r="D15" s="115">
        <f t="shared" si="0"/>
        <v>31.485714285714288</v>
      </c>
      <c r="E15" s="115">
        <f t="shared" si="0"/>
        <v>34.800000000000004</v>
      </c>
      <c r="F15" s="115">
        <f t="shared" si="0"/>
        <v>38.114285714285714</v>
      </c>
      <c r="G15" s="115">
        <f t="shared" si="0"/>
        <v>41.42857142857142</v>
      </c>
    </row>
    <row r="16" spans="1:7" ht="17.25">
      <c r="A16" s="106">
        <v>0.69</v>
      </c>
      <c r="B16" s="107">
        <f aca="true" t="shared" si="1" ref="B16:G16">(B14/0.35)*0.31</f>
        <v>26.571428571428573</v>
      </c>
      <c r="C16" s="116">
        <f t="shared" si="1"/>
        <v>30.114285714285717</v>
      </c>
      <c r="D16" s="116">
        <f t="shared" si="1"/>
        <v>33.65714285714286</v>
      </c>
      <c r="E16" s="116">
        <f t="shared" si="1"/>
        <v>37.2</v>
      </c>
      <c r="F16" s="116">
        <f t="shared" si="1"/>
        <v>40.74285714285715</v>
      </c>
      <c r="G16" s="116">
        <f t="shared" si="1"/>
        <v>44.285714285714285</v>
      </c>
    </row>
    <row r="17" spans="1:7" ht="17.25">
      <c r="A17" s="106">
        <v>0.67</v>
      </c>
      <c r="B17" s="107">
        <f aca="true" t="shared" si="2" ref="B17:G17">(B14/0.35)*0.33</f>
        <v>28.28571428571429</v>
      </c>
      <c r="C17" s="116">
        <f t="shared" si="2"/>
        <v>32.057142857142864</v>
      </c>
      <c r="D17" s="116">
        <f t="shared" si="2"/>
        <v>35.828571428571436</v>
      </c>
      <c r="E17" s="116">
        <f t="shared" si="2"/>
        <v>39.60000000000001</v>
      </c>
      <c r="F17" s="116">
        <f t="shared" si="2"/>
        <v>43.37142857142858</v>
      </c>
      <c r="G17" s="116">
        <f t="shared" si="2"/>
        <v>47.142857142857146</v>
      </c>
    </row>
    <row r="18" spans="1:7" ht="17.25">
      <c r="A18" s="108">
        <v>0.65</v>
      </c>
      <c r="B18" s="109">
        <f aca="true" t="shared" si="3" ref="B18:G18">B14</f>
        <v>30</v>
      </c>
      <c r="C18" s="117">
        <f t="shared" si="3"/>
        <v>34</v>
      </c>
      <c r="D18" s="117">
        <f t="shared" si="3"/>
        <v>38</v>
      </c>
      <c r="E18" s="117">
        <f t="shared" si="3"/>
        <v>42</v>
      </c>
      <c r="F18" s="117">
        <f t="shared" si="3"/>
        <v>46</v>
      </c>
      <c r="G18" s="117">
        <f t="shared" si="3"/>
        <v>50</v>
      </c>
    </row>
    <row r="19" spans="1:7" ht="17.25">
      <c r="A19" s="106">
        <v>0.63</v>
      </c>
      <c r="B19" s="107">
        <f aca="true" t="shared" si="4" ref="B19:G19">(B14/0.35)*0.37</f>
        <v>31.714285714285715</v>
      </c>
      <c r="C19" s="116">
        <f t="shared" si="4"/>
        <v>35.94285714285714</v>
      </c>
      <c r="D19" s="116">
        <f t="shared" si="4"/>
        <v>40.17142857142858</v>
      </c>
      <c r="E19" s="116">
        <f t="shared" si="4"/>
        <v>44.400000000000006</v>
      </c>
      <c r="F19" s="116">
        <f t="shared" si="4"/>
        <v>48.62857142857143</v>
      </c>
      <c r="G19" s="116">
        <f t="shared" si="4"/>
        <v>52.85714285714286</v>
      </c>
    </row>
    <row r="20" spans="1:7" ht="17.25">
      <c r="A20" s="106">
        <v>0.61</v>
      </c>
      <c r="B20" s="107">
        <f aca="true" t="shared" si="5" ref="B20:G20">(B14/0.35)*0.39</f>
        <v>33.42857142857143</v>
      </c>
      <c r="C20" s="116">
        <f t="shared" si="5"/>
        <v>37.88571428571429</v>
      </c>
      <c r="D20" s="116">
        <f t="shared" si="5"/>
        <v>42.34285714285715</v>
      </c>
      <c r="E20" s="116">
        <f t="shared" si="5"/>
        <v>46.800000000000004</v>
      </c>
      <c r="F20" s="116">
        <f t="shared" si="5"/>
        <v>51.25714285714287</v>
      </c>
      <c r="G20" s="116">
        <f t="shared" si="5"/>
        <v>55.714285714285715</v>
      </c>
    </row>
    <row r="21" spans="1:7" ht="17.25">
      <c r="A21" s="106">
        <v>0.59</v>
      </c>
      <c r="B21" s="107">
        <f aca="true" t="shared" si="6" ref="B21:G21">(B14/0.35)*0.41</f>
        <v>35.142857142857146</v>
      </c>
      <c r="C21" s="116">
        <f t="shared" si="6"/>
        <v>39.82857142857143</v>
      </c>
      <c r="D21" s="116">
        <f t="shared" si="6"/>
        <v>44.51428571428572</v>
      </c>
      <c r="E21" s="116">
        <f t="shared" si="6"/>
        <v>49.2</v>
      </c>
      <c r="F21" s="116">
        <f t="shared" si="6"/>
        <v>53.885714285714286</v>
      </c>
      <c r="G21" s="116">
        <f t="shared" si="6"/>
        <v>58.57142857142857</v>
      </c>
    </row>
  </sheetData>
  <sheetProtection password="C811" sheet="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scc</dc:creator>
  <cp:keywords/>
  <dc:description/>
  <cp:lastModifiedBy>JL</cp:lastModifiedBy>
  <cp:lastPrinted>2013-09-19T20:11:58Z</cp:lastPrinted>
  <dcterms:created xsi:type="dcterms:W3CDTF">2007-08-14T00:43:51Z</dcterms:created>
  <dcterms:modified xsi:type="dcterms:W3CDTF">2018-06-29T15:01:27Z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